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M:\Reference Material\Training\SDPS - UCDHS Courses_eCourses\Preparing a Proposal Budget Lab\2019-20\"/>
    </mc:Choice>
  </mc:AlternateContent>
  <bookViews>
    <workbookView xWindow="0" yWindow="0" windowWidth="14205" windowHeight="8205" firstSheet="1" activeTab="1"/>
  </bookViews>
  <sheets>
    <sheet name="Worksheet" sheetId="1" state="hidden" r:id="rId1"/>
    <sheet name="Request" sheetId="2" r:id="rId2"/>
    <sheet name="F&amp;A Details" sheetId="3" r:id="rId3"/>
    <sheet name="Personnel Reference" sheetId="4" r:id="rId4"/>
  </sheets>
  <definedNames>
    <definedName name="_xlnm.Print_Area" localSheetId="1">Request!$A$1:$U$252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I9" i="2"/>
  <c r="H9" i="2"/>
  <c r="J8" i="2"/>
  <c r="I8" i="2"/>
  <c r="H8" i="2"/>
  <c r="F9" i="2"/>
  <c r="E9" i="2"/>
  <c r="F8" i="2"/>
  <c r="E8" i="2"/>
  <c r="H35" i="1" l="1"/>
  <c r="T184" i="2" l="1"/>
  <c r="R184" i="2"/>
  <c r="S184" i="2"/>
  <c r="Q184" i="2"/>
  <c r="P184" i="2"/>
  <c r="G45" i="1" l="1"/>
  <c r="G43" i="1"/>
  <c r="G39" i="1"/>
  <c r="G36" i="1"/>
  <c r="G35" i="1"/>
  <c r="G51" i="1" l="1"/>
  <c r="H51" i="1" s="1"/>
  <c r="I51" i="1" s="1"/>
  <c r="J51" i="1" s="1"/>
  <c r="K51" i="1" s="1"/>
  <c r="L51" i="1" s="1"/>
  <c r="M51" i="1" s="1"/>
  <c r="N51" i="1" s="1"/>
  <c r="O51" i="1" s="1"/>
  <c r="P51" i="1" s="1"/>
  <c r="Q51" i="1" s="1"/>
  <c r="R51" i="1" s="1"/>
  <c r="G50" i="1"/>
  <c r="H50" i="1" s="1"/>
  <c r="I50" i="1" s="1"/>
  <c r="J50" i="1" s="1"/>
  <c r="K50" i="1" s="1"/>
  <c r="L50" i="1" s="1"/>
  <c r="M50" i="1" s="1"/>
  <c r="N50" i="1" s="1"/>
  <c r="O50" i="1" s="1"/>
  <c r="P50" i="1" s="1"/>
  <c r="Q50" i="1" s="1"/>
  <c r="R50" i="1" s="1"/>
  <c r="G49" i="1"/>
  <c r="H49" i="1" s="1"/>
  <c r="I49" i="1" s="1"/>
  <c r="J49" i="1" s="1"/>
  <c r="K49" i="1" s="1"/>
  <c r="L49" i="1" s="1"/>
  <c r="M49" i="1" s="1"/>
  <c r="N49" i="1" s="1"/>
  <c r="O49" i="1" s="1"/>
  <c r="P49" i="1" s="1"/>
  <c r="Q49" i="1" s="1"/>
  <c r="R49" i="1" s="1"/>
  <c r="G48" i="1"/>
  <c r="H48" i="1" s="1"/>
  <c r="I48" i="1" s="1"/>
  <c r="J48" i="1" s="1"/>
  <c r="K48" i="1" s="1"/>
  <c r="L48" i="1" s="1"/>
  <c r="M48" i="1" s="1"/>
  <c r="N48" i="1" s="1"/>
  <c r="O48" i="1" s="1"/>
  <c r="P48" i="1" s="1"/>
  <c r="Q48" i="1" s="1"/>
  <c r="R48" i="1" s="1"/>
  <c r="G47" i="1"/>
  <c r="H47" i="1" s="1"/>
  <c r="I47" i="1" s="1"/>
  <c r="J47" i="1" s="1"/>
  <c r="K47" i="1" s="1"/>
  <c r="L47" i="1" s="1"/>
  <c r="M47" i="1" s="1"/>
  <c r="N47" i="1" s="1"/>
  <c r="O47" i="1" s="1"/>
  <c r="P47" i="1" s="1"/>
  <c r="Q47" i="1" s="1"/>
  <c r="R47" i="1" s="1"/>
  <c r="G46" i="1"/>
  <c r="H46" i="1" s="1"/>
  <c r="I46" i="1" s="1"/>
  <c r="J46" i="1" s="1"/>
  <c r="K46" i="1" s="1"/>
  <c r="L46" i="1" s="1"/>
  <c r="M46" i="1" s="1"/>
  <c r="N46" i="1" s="1"/>
  <c r="O46" i="1" s="1"/>
  <c r="P46" i="1" s="1"/>
  <c r="Q46" i="1" s="1"/>
  <c r="R46" i="1" s="1"/>
  <c r="H45" i="1"/>
  <c r="I45" i="1" s="1"/>
  <c r="J45" i="1" s="1"/>
  <c r="K45" i="1" s="1"/>
  <c r="L45" i="1" s="1"/>
  <c r="M45" i="1" s="1"/>
  <c r="N45" i="1" s="1"/>
  <c r="O45" i="1" s="1"/>
  <c r="P45" i="1" s="1"/>
  <c r="Q45" i="1" s="1"/>
  <c r="R45" i="1" s="1"/>
  <c r="G44" i="1"/>
  <c r="H44" i="1" s="1"/>
  <c r="I44" i="1" s="1"/>
  <c r="J44" i="1" s="1"/>
  <c r="K44" i="1" s="1"/>
  <c r="L44" i="1" s="1"/>
  <c r="M44" i="1" s="1"/>
  <c r="N44" i="1" s="1"/>
  <c r="O44" i="1" s="1"/>
  <c r="P44" i="1" s="1"/>
  <c r="Q44" i="1" s="1"/>
  <c r="R44" i="1" s="1"/>
  <c r="H43" i="1"/>
  <c r="I43" i="1" s="1"/>
  <c r="J43" i="1" s="1"/>
  <c r="K43" i="1" s="1"/>
  <c r="L43" i="1" s="1"/>
  <c r="M43" i="1" s="1"/>
  <c r="N43" i="1" s="1"/>
  <c r="O43" i="1" s="1"/>
  <c r="P43" i="1" s="1"/>
  <c r="Q43" i="1" s="1"/>
  <c r="R43" i="1" s="1"/>
  <c r="G42" i="1"/>
  <c r="H42" i="1" s="1"/>
  <c r="I42" i="1" s="1"/>
  <c r="J42" i="1" s="1"/>
  <c r="K42" i="1" s="1"/>
  <c r="L42" i="1" s="1"/>
  <c r="M42" i="1" s="1"/>
  <c r="N42" i="1" s="1"/>
  <c r="O42" i="1" s="1"/>
  <c r="P42" i="1" s="1"/>
  <c r="Q42" i="1" s="1"/>
  <c r="R42" i="1" s="1"/>
  <c r="H41" i="1"/>
  <c r="I41" i="1" s="1"/>
  <c r="J41" i="1" s="1"/>
  <c r="K41" i="1" s="1"/>
  <c r="L41" i="1" s="1"/>
  <c r="M41" i="1" s="1"/>
  <c r="N41" i="1" s="1"/>
  <c r="O41" i="1" s="1"/>
  <c r="P41" i="1" s="1"/>
  <c r="Q41" i="1" s="1"/>
  <c r="R41" i="1" s="1"/>
  <c r="H40" i="1"/>
  <c r="I40" i="1" s="1"/>
  <c r="J40" i="1" s="1"/>
  <c r="K40" i="1" s="1"/>
  <c r="L40" i="1" s="1"/>
  <c r="M40" i="1" s="1"/>
  <c r="N40" i="1" s="1"/>
  <c r="O40" i="1" s="1"/>
  <c r="P40" i="1" s="1"/>
  <c r="Q40" i="1" s="1"/>
  <c r="R40" i="1" s="1"/>
  <c r="H39" i="1"/>
  <c r="I39" i="1" s="1"/>
  <c r="J39" i="1" s="1"/>
  <c r="K39" i="1" s="1"/>
  <c r="L39" i="1" s="1"/>
  <c r="M39" i="1" s="1"/>
  <c r="N39" i="1" s="1"/>
  <c r="O39" i="1" s="1"/>
  <c r="P39" i="1" s="1"/>
  <c r="Q39" i="1" s="1"/>
  <c r="R39" i="1" s="1"/>
  <c r="H38" i="1"/>
  <c r="I38" i="1" s="1"/>
  <c r="J38" i="1" s="1"/>
  <c r="K38" i="1" s="1"/>
  <c r="L38" i="1" s="1"/>
  <c r="M38" i="1" s="1"/>
  <c r="N38" i="1" s="1"/>
  <c r="O38" i="1" s="1"/>
  <c r="P38" i="1" s="1"/>
  <c r="Q38" i="1" s="1"/>
  <c r="R38" i="1" s="1"/>
  <c r="H37" i="1"/>
  <c r="I37" i="1" s="1"/>
  <c r="J37" i="1" s="1"/>
  <c r="K37" i="1" s="1"/>
  <c r="L37" i="1" s="1"/>
  <c r="M37" i="1" s="1"/>
  <c r="N37" i="1" s="1"/>
  <c r="O37" i="1" s="1"/>
  <c r="P37" i="1" s="1"/>
  <c r="Q37" i="1" s="1"/>
  <c r="R37" i="1" s="1"/>
  <c r="H36" i="1"/>
  <c r="I36" i="1" s="1"/>
  <c r="J36" i="1" s="1"/>
  <c r="K36" i="1" s="1"/>
  <c r="L36" i="1" s="1"/>
  <c r="M36" i="1" s="1"/>
  <c r="N36" i="1" s="1"/>
  <c r="O36" i="1" s="1"/>
  <c r="P36" i="1" s="1"/>
  <c r="Q36" i="1" s="1"/>
  <c r="R36" i="1" s="1"/>
  <c r="I35" i="1" l="1"/>
  <c r="J35" i="1" s="1"/>
  <c r="K35" i="1" s="1"/>
  <c r="L35" i="1" s="1"/>
  <c r="M35" i="1" s="1"/>
  <c r="N35" i="1" s="1"/>
  <c r="O35" i="1" s="1"/>
  <c r="P35" i="1" s="1"/>
  <c r="Q35" i="1" s="1"/>
  <c r="R35" i="1" s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36" i="1"/>
  <c r="N56" i="2" l="1"/>
  <c r="N57" i="2"/>
  <c r="N58" i="2"/>
  <c r="N59" i="2"/>
  <c r="L56" i="2"/>
  <c r="L57" i="2"/>
  <c r="L58" i="2"/>
  <c r="L59" i="2"/>
  <c r="J56" i="2"/>
  <c r="J57" i="2"/>
  <c r="J58" i="2"/>
  <c r="J59" i="2"/>
  <c r="H56" i="2"/>
  <c r="H57" i="2"/>
  <c r="H58" i="2"/>
  <c r="H59" i="2"/>
  <c r="G56" i="2"/>
  <c r="G57" i="2"/>
  <c r="G58" i="2"/>
  <c r="G59" i="2"/>
  <c r="P244" i="2" l="1"/>
  <c r="E131" i="1" l="1"/>
  <c r="F131" i="1"/>
  <c r="G131" i="1"/>
  <c r="E132" i="1"/>
  <c r="F132" i="1"/>
  <c r="G132" i="1"/>
  <c r="E133" i="1"/>
  <c r="F133" i="1"/>
  <c r="G133" i="1"/>
  <c r="E134" i="1"/>
  <c r="F134" i="1"/>
  <c r="G134" i="1"/>
  <c r="E135" i="1"/>
  <c r="F135" i="1"/>
  <c r="G135" i="1"/>
  <c r="E136" i="1"/>
  <c r="F136" i="1"/>
  <c r="G136" i="1"/>
  <c r="E137" i="1"/>
  <c r="F137" i="1"/>
  <c r="G137" i="1"/>
  <c r="E138" i="1"/>
  <c r="F138" i="1"/>
  <c r="G138" i="1"/>
  <c r="E139" i="1"/>
  <c r="F139" i="1"/>
  <c r="G139" i="1"/>
  <c r="E140" i="1"/>
  <c r="F140" i="1"/>
  <c r="G140" i="1"/>
  <c r="E141" i="1"/>
  <c r="F141" i="1"/>
  <c r="G141" i="1"/>
  <c r="E142" i="1"/>
  <c r="F142" i="1"/>
  <c r="G142" i="1"/>
  <c r="E143" i="1"/>
  <c r="F143" i="1"/>
  <c r="G143" i="1"/>
  <c r="E144" i="1"/>
  <c r="F144" i="1"/>
  <c r="G144" i="1"/>
  <c r="E145" i="1"/>
  <c r="F145" i="1"/>
  <c r="G145" i="1"/>
  <c r="E146" i="1"/>
  <c r="F146" i="1"/>
  <c r="G146" i="1"/>
  <c r="E147" i="1"/>
  <c r="F147" i="1"/>
  <c r="G147" i="1"/>
  <c r="E148" i="1"/>
  <c r="F148" i="1"/>
  <c r="G148" i="1"/>
  <c r="E149" i="1"/>
  <c r="F149" i="1"/>
  <c r="G149" i="1"/>
  <c r="E150" i="1"/>
  <c r="F150" i="1"/>
  <c r="G150" i="1"/>
  <c r="E151" i="1"/>
  <c r="F151" i="1"/>
  <c r="G151" i="1"/>
  <c r="E152" i="1"/>
  <c r="F152" i="1"/>
  <c r="G152" i="1"/>
  <c r="E153" i="1"/>
  <c r="F153" i="1"/>
  <c r="G153" i="1"/>
  <c r="E154" i="1"/>
  <c r="F154" i="1"/>
  <c r="G154" i="1"/>
  <c r="E155" i="1"/>
  <c r="F155" i="1"/>
  <c r="G155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F130" i="1"/>
  <c r="G130" i="1"/>
  <c r="E130" i="1"/>
  <c r="D130" i="1"/>
  <c r="C130" i="1" l="1"/>
  <c r="B146" i="1"/>
  <c r="C175" i="1" s="1"/>
  <c r="B147" i="1"/>
  <c r="C176" i="1" s="1"/>
  <c r="B148" i="1"/>
  <c r="C177" i="1" s="1"/>
  <c r="B149" i="1"/>
  <c r="C178" i="1" s="1"/>
  <c r="B150" i="1"/>
  <c r="C179" i="1" s="1"/>
  <c r="B151" i="1"/>
  <c r="C180" i="1" s="1"/>
  <c r="B152" i="1"/>
  <c r="C181" i="1" s="1"/>
  <c r="B153" i="1"/>
  <c r="C182" i="1" s="1"/>
  <c r="B154" i="1"/>
  <c r="C183" i="1" s="1"/>
  <c r="B155" i="1"/>
  <c r="C184" i="1" s="1"/>
  <c r="B130" i="1"/>
  <c r="B131" i="1"/>
  <c r="C160" i="1" s="1"/>
  <c r="B132" i="1"/>
  <c r="C161" i="1" s="1"/>
  <c r="B133" i="1"/>
  <c r="C162" i="1" s="1"/>
  <c r="B134" i="1"/>
  <c r="C163" i="1" s="1"/>
  <c r="B135" i="1"/>
  <c r="C164" i="1" s="1"/>
  <c r="B136" i="1"/>
  <c r="C165" i="1" s="1"/>
  <c r="B137" i="1"/>
  <c r="C166" i="1" s="1"/>
  <c r="B138" i="1"/>
  <c r="C167" i="1" s="1"/>
  <c r="B139" i="1"/>
  <c r="C168" i="1" s="1"/>
  <c r="B140" i="1"/>
  <c r="C169" i="1" s="1"/>
  <c r="B141" i="1"/>
  <c r="C170" i="1" s="1"/>
  <c r="B142" i="1"/>
  <c r="C171" i="1" s="1"/>
  <c r="B143" i="1"/>
  <c r="C172" i="1" s="1"/>
  <c r="B144" i="1"/>
  <c r="C173" i="1" s="1"/>
  <c r="B145" i="1"/>
  <c r="C174" i="1" s="1"/>
  <c r="B129" i="1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B189" i="1"/>
  <c r="B190" i="1"/>
  <c r="F190" i="1" s="1"/>
  <c r="B191" i="1"/>
  <c r="G191" i="1" s="1"/>
  <c r="B192" i="1"/>
  <c r="C192" i="1" s="1"/>
  <c r="B193" i="1"/>
  <c r="E193" i="1" s="1"/>
  <c r="B194" i="1"/>
  <c r="E194" i="1" s="1"/>
  <c r="B195" i="1"/>
  <c r="E195" i="1" s="1"/>
  <c r="B196" i="1"/>
  <c r="E196" i="1" s="1"/>
  <c r="B197" i="1"/>
  <c r="E197" i="1" s="1"/>
  <c r="B198" i="1"/>
  <c r="E198" i="1" s="1"/>
  <c r="B199" i="1"/>
  <c r="E199" i="1" s="1"/>
  <c r="B200" i="1"/>
  <c r="E200" i="1" s="1"/>
  <c r="B201" i="1"/>
  <c r="B202" i="1"/>
  <c r="E202" i="1" s="1"/>
  <c r="B203" i="1"/>
  <c r="E203" i="1" s="1"/>
  <c r="B204" i="1"/>
  <c r="E204" i="1" s="1"/>
  <c r="B205" i="1"/>
  <c r="E205" i="1" s="1"/>
  <c r="B206" i="1"/>
  <c r="E206" i="1" s="1"/>
  <c r="B207" i="1"/>
  <c r="E207" i="1" s="1"/>
  <c r="B208" i="1"/>
  <c r="E208" i="1" s="1"/>
  <c r="B209" i="1"/>
  <c r="E209" i="1" s="1"/>
  <c r="B210" i="1"/>
  <c r="B211" i="1"/>
  <c r="E211" i="1" s="1"/>
  <c r="B212" i="1"/>
  <c r="E212" i="1" s="1"/>
  <c r="B213" i="1"/>
  <c r="E213" i="1" s="1"/>
  <c r="B214" i="1"/>
  <c r="E214" i="1" s="1"/>
  <c r="B159" i="1"/>
  <c r="G159" i="1" s="1"/>
  <c r="B160" i="1"/>
  <c r="D160" i="1" s="1"/>
  <c r="B161" i="1"/>
  <c r="D161" i="1" s="1"/>
  <c r="B162" i="1"/>
  <c r="D162" i="1" s="1"/>
  <c r="B163" i="1"/>
  <c r="F163" i="1" s="1"/>
  <c r="B164" i="1"/>
  <c r="F164" i="1" s="1"/>
  <c r="B165" i="1"/>
  <c r="G165" i="1" s="1"/>
  <c r="B166" i="1"/>
  <c r="G166" i="1" s="1"/>
  <c r="B167" i="1"/>
  <c r="F167" i="1" s="1"/>
  <c r="B168" i="1"/>
  <c r="F168" i="1" s="1"/>
  <c r="B169" i="1"/>
  <c r="G169" i="1" s="1"/>
  <c r="B170" i="1"/>
  <c r="G170" i="1" s="1"/>
  <c r="B171" i="1"/>
  <c r="B172" i="1"/>
  <c r="E172" i="1" s="1"/>
  <c r="B173" i="1"/>
  <c r="E173" i="1" s="1"/>
  <c r="B174" i="1"/>
  <c r="E174" i="1" s="1"/>
  <c r="B175" i="1"/>
  <c r="G175" i="1" s="1"/>
  <c r="B176" i="1"/>
  <c r="E176" i="1" s="1"/>
  <c r="B177" i="1"/>
  <c r="E177" i="1" s="1"/>
  <c r="B178" i="1"/>
  <c r="E178" i="1" s="1"/>
  <c r="B179" i="1"/>
  <c r="G179" i="1" s="1"/>
  <c r="B180" i="1"/>
  <c r="B181" i="1"/>
  <c r="E181" i="1" s="1"/>
  <c r="B182" i="1"/>
  <c r="E182" i="1" s="1"/>
  <c r="B183" i="1"/>
  <c r="G183" i="1" s="1"/>
  <c r="B184" i="1"/>
  <c r="E184" i="1" s="1"/>
  <c r="C189" i="1" l="1"/>
  <c r="C159" i="1"/>
  <c r="E161" i="1"/>
  <c r="G161" i="1"/>
  <c r="D191" i="1"/>
  <c r="C191" i="1"/>
  <c r="F178" i="1"/>
  <c r="F191" i="1"/>
  <c r="H191" i="1" s="1"/>
  <c r="F161" i="1"/>
  <c r="E191" i="1"/>
  <c r="D159" i="1"/>
  <c r="G174" i="1"/>
  <c r="D193" i="1"/>
  <c r="C190" i="1"/>
  <c r="E160" i="1"/>
  <c r="F160" i="1"/>
  <c r="G160" i="1"/>
  <c r="C209" i="1"/>
  <c r="D190" i="1"/>
  <c r="G190" i="1"/>
  <c r="C193" i="1"/>
  <c r="E190" i="1"/>
  <c r="E159" i="1"/>
  <c r="F159" i="1"/>
  <c r="D204" i="1"/>
  <c r="E192" i="1"/>
  <c r="H147" i="1"/>
  <c r="H131" i="1"/>
  <c r="H151" i="1"/>
  <c r="H143" i="1"/>
  <c r="H150" i="1"/>
  <c r="H146" i="1"/>
  <c r="H142" i="1"/>
  <c r="E180" i="1"/>
  <c r="F174" i="1"/>
  <c r="G168" i="1"/>
  <c r="E210" i="1"/>
  <c r="C205" i="1"/>
  <c r="D197" i="1"/>
  <c r="H153" i="1"/>
  <c r="H149" i="1"/>
  <c r="H145" i="1"/>
  <c r="G171" i="1"/>
  <c r="F170" i="1"/>
  <c r="G182" i="1"/>
  <c r="E201" i="1"/>
  <c r="C201" i="1"/>
  <c r="D212" i="1"/>
  <c r="H152" i="1"/>
  <c r="H148" i="1"/>
  <c r="H144" i="1"/>
  <c r="D170" i="1"/>
  <c r="E168" i="1"/>
  <c r="F182" i="1"/>
  <c r="G178" i="1"/>
  <c r="C213" i="1"/>
  <c r="C200" i="1"/>
  <c r="D208" i="1"/>
  <c r="D166" i="1"/>
  <c r="F166" i="1"/>
  <c r="C196" i="1"/>
  <c r="G164" i="1"/>
  <c r="E164" i="1"/>
  <c r="G162" i="1"/>
  <c r="F162" i="1"/>
  <c r="E175" i="1"/>
  <c r="D182" i="1"/>
  <c r="D178" i="1"/>
  <c r="D174" i="1"/>
  <c r="F181" i="1"/>
  <c r="F177" i="1"/>
  <c r="F173" i="1"/>
  <c r="G181" i="1"/>
  <c r="G177" i="1"/>
  <c r="G173" i="1"/>
  <c r="C212" i="1"/>
  <c r="C208" i="1"/>
  <c r="C204" i="1"/>
  <c r="D211" i="1"/>
  <c r="D207" i="1"/>
  <c r="D203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D179" i="1"/>
  <c r="D171" i="1"/>
  <c r="E179" i="1"/>
  <c r="E171" i="1"/>
  <c r="H140" i="1"/>
  <c r="H136" i="1"/>
  <c r="H132" i="1"/>
  <c r="D181" i="1"/>
  <c r="D177" i="1"/>
  <c r="D173" i="1"/>
  <c r="F184" i="1"/>
  <c r="F180" i="1"/>
  <c r="F176" i="1"/>
  <c r="F172" i="1"/>
  <c r="G184" i="1"/>
  <c r="G180" i="1"/>
  <c r="G176" i="1"/>
  <c r="G172" i="1"/>
  <c r="C211" i="1"/>
  <c r="C207" i="1"/>
  <c r="C203" i="1"/>
  <c r="D214" i="1"/>
  <c r="D210" i="1"/>
  <c r="D206" i="1"/>
  <c r="D202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D183" i="1"/>
  <c r="D175" i="1"/>
  <c r="E183" i="1"/>
  <c r="D184" i="1"/>
  <c r="H184" i="1" s="1"/>
  <c r="D180" i="1"/>
  <c r="D176" i="1"/>
  <c r="H176" i="1" s="1"/>
  <c r="D172" i="1"/>
  <c r="F183" i="1"/>
  <c r="F179" i="1"/>
  <c r="F175" i="1"/>
  <c r="F171" i="1"/>
  <c r="C214" i="1"/>
  <c r="C210" i="1"/>
  <c r="C206" i="1"/>
  <c r="C202" i="1"/>
  <c r="D213" i="1"/>
  <c r="D209" i="1"/>
  <c r="D205" i="1"/>
  <c r="D201" i="1"/>
  <c r="H139" i="1"/>
  <c r="H135" i="1"/>
  <c r="D169" i="1"/>
  <c r="D165" i="1"/>
  <c r="E167" i="1"/>
  <c r="E163" i="1"/>
  <c r="F169" i="1"/>
  <c r="F165" i="1"/>
  <c r="G167" i="1"/>
  <c r="G163" i="1"/>
  <c r="C199" i="1"/>
  <c r="C195" i="1"/>
  <c r="D200" i="1"/>
  <c r="D196" i="1"/>
  <c r="D192" i="1"/>
  <c r="G200" i="1"/>
  <c r="G199" i="1"/>
  <c r="G198" i="1"/>
  <c r="G197" i="1"/>
  <c r="G196" i="1"/>
  <c r="G195" i="1"/>
  <c r="G194" i="1"/>
  <c r="G193" i="1"/>
  <c r="G192" i="1"/>
  <c r="H138" i="1"/>
  <c r="H134" i="1"/>
  <c r="D168" i="1"/>
  <c r="D164" i="1"/>
  <c r="E170" i="1"/>
  <c r="E166" i="1"/>
  <c r="E162" i="1"/>
  <c r="C198" i="1"/>
  <c r="C194" i="1"/>
  <c r="D199" i="1"/>
  <c r="D195" i="1"/>
  <c r="F200" i="1"/>
  <c r="F199" i="1"/>
  <c r="F198" i="1"/>
  <c r="F197" i="1"/>
  <c r="F196" i="1"/>
  <c r="F195" i="1"/>
  <c r="F194" i="1"/>
  <c r="F193" i="1"/>
  <c r="F192" i="1"/>
  <c r="H141" i="1"/>
  <c r="H137" i="1"/>
  <c r="H133" i="1"/>
  <c r="D167" i="1"/>
  <c r="D163" i="1"/>
  <c r="E169" i="1"/>
  <c r="E165" i="1"/>
  <c r="C197" i="1"/>
  <c r="D198" i="1"/>
  <c r="D194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H160" i="1" l="1"/>
  <c r="H190" i="1"/>
  <c r="H213" i="1"/>
  <c r="H178" i="1"/>
  <c r="H214" i="1"/>
  <c r="H201" i="1"/>
  <c r="H177" i="1"/>
  <c r="H183" i="1"/>
  <c r="H192" i="1"/>
  <c r="H180" i="1"/>
  <c r="H181" i="1"/>
  <c r="H174" i="1"/>
  <c r="H179" i="1"/>
  <c r="H205" i="1"/>
  <c r="H209" i="1"/>
  <c r="H211" i="1"/>
  <c r="H182" i="1"/>
  <c r="H197" i="1"/>
  <c r="H200" i="1"/>
  <c r="H198" i="1"/>
  <c r="H202" i="1"/>
  <c r="H206" i="1"/>
  <c r="H175" i="1"/>
  <c r="H208" i="1"/>
  <c r="H196" i="1"/>
  <c r="H195" i="1"/>
  <c r="H193" i="1"/>
  <c r="H212" i="1"/>
  <c r="H210" i="1"/>
  <c r="H203" i="1"/>
  <c r="H207" i="1"/>
  <c r="H204" i="1"/>
  <c r="H199" i="1"/>
  <c r="H194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279" i="1"/>
  <c r="L16" i="4" l="1"/>
  <c r="L17" i="4"/>
  <c r="L18" i="4"/>
  <c r="P16" i="4"/>
  <c r="P17" i="4"/>
  <c r="P18" i="4"/>
  <c r="P19" i="4"/>
  <c r="P20" i="4"/>
  <c r="P21" i="4"/>
  <c r="P22" i="4"/>
  <c r="P23" i="4"/>
  <c r="P24" i="4"/>
  <c r="P25" i="4"/>
  <c r="P26" i="4"/>
  <c r="P27" i="4"/>
  <c r="N16" i="4"/>
  <c r="N17" i="4"/>
  <c r="N18" i="4"/>
  <c r="N19" i="4"/>
  <c r="N20" i="4"/>
  <c r="N21" i="4"/>
  <c r="N22" i="4"/>
  <c r="N23" i="4"/>
  <c r="N24" i="4"/>
  <c r="N25" i="4"/>
  <c r="N26" i="4"/>
  <c r="N27" i="4"/>
  <c r="L19" i="4"/>
  <c r="L20" i="4"/>
  <c r="L21" i="4"/>
  <c r="L22" i="4"/>
  <c r="L23" i="4"/>
  <c r="L24" i="4"/>
  <c r="L25" i="4"/>
  <c r="L26" i="4"/>
  <c r="L27" i="4"/>
  <c r="J16" i="4"/>
  <c r="J17" i="4"/>
  <c r="J18" i="4"/>
  <c r="J19" i="4"/>
  <c r="J20" i="4"/>
  <c r="J21" i="4"/>
  <c r="J22" i="4"/>
  <c r="J23" i="4"/>
  <c r="J24" i="4"/>
  <c r="J25" i="4"/>
  <c r="J26" i="4"/>
  <c r="J27" i="4"/>
  <c r="H16" i="4"/>
  <c r="H17" i="4"/>
  <c r="H18" i="4"/>
  <c r="H19" i="4"/>
  <c r="H20" i="4"/>
  <c r="H21" i="4"/>
  <c r="H22" i="4"/>
  <c r="H23" i="4"/>
  <c r="H24" i="4"/>
  <c r="H25" i="4"/>
  <c r="H26" i="4"/>
  <c r="H27" i="4"/>
  <c r="B296" i="1" l="1"/>
  <c r="B297" i="1"/>
  <c r="B298" i="1"/>
  <c r="B302" i="1"/>
  <c r="B280" i="1"/>
  <c r="B281" i="1"/>
  <c r="B282" i="1"/>
  <c r="B283" i="1"/>
  <c r="B284" i="1"/>
  <c r="B285" i="1"/>
  <c r="B290" i="1"/>
  <c r="B301" i="1"/>
  <c r="B300" i="1"/>
  <c r="B299" i="1"/>
  <c r="P153" i="2" l="1"/>
  <c r="U146" i="2"/>
  <c r="U147" i="2"/>
  <c r="U148" i="2"/>
  <c r="U149" i="2"/>
  <c r="Q5" i="4" l="1"/>
  <c r="K116" i="1" l="1"/>
  <c r="J116" i="1" l="1"/>
  <c r="I116" i="1"/>
  <c r="H116" i="1"/>
  <c r="G116" i="1" l="1"/>
  <c r="F116" i="1"/>
  <c r="E116" i="1"/>
  <c r="D116" i="1"/>
  <c r="C116" i="1"/>
  <c r="Y4" i="4" l="1"/>
  <c r="Y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19" i="4"/>
  <c r="Y20" i="4"/>
  <c r="Y21" i="4"/>
  <c r="Y22" i="4"/>
  <c r="Y23" i="4"/>
  <c r="Y24" i="4"/>
  <c r="Y25" i="4"/>
  <c r="Y26" i="4"/>
  <c r="Y27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6" i="4"/>
  <c r="Q7" i="4"/>
  <c r="Q8" i="4"/>
  <c r="Q9" i="4"/>
  <c r="Q10" i="4"/>
  <c r="Q11" i="4"/>
  <c r="Q12" i="4"/>
  <c r="Q13" i="4"/>
  <c r="Q4" i="4"/>
  <c r="G8" i="2" l="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M239" i="1" l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38" i="1"/>
  <c r="W258" i="1" l="1"/>
  <c r="V258" i="1"/>
  <c r="U258" i="1"/>
  <c r="T258" i="1"/>
  <c r="S258" i="1"/>
  <c r="R258" i="1"/>
  <c r="Q258" i="1"/>
  <c r="P258" i="1"/>
  <c r="O258" i="1"/>
  <c r="N258" i="1"/>
  <c r="W261" i="1"/>
  <c r="U261" i="1"/>
  <c r="S261" i="1"/>
  <c r="Q261" i="1"/>
  <c r="O261" i="1"/>
  <c r="V261" i="1"/>
  <c r="T261" i="1"/>
  <c r="R261" i="1"/>
  <c r="P261" i="1"/>
  <c r="N261" i="1"/>
  <c r="W260" i="1"/>
  <c r="U260" i="1"/>
  <c r="S260" i="1"/>
  <c r="Q260" i="1"/>
  <c r="O260" i="1"/>
  <c r="N260" i="1"/>
  <c r="V260" i="1"/>
  <c r="T260" i="1"/>
  <c r="R260" i="1"/>
  <c r="P260" i="1"/>
  <c r="Q259" i="1"/>
  <c r="O259" i="1"/>
  <c r="W259" i="1"/>
  <c r="V259" i="1"/>
  <c r="U259" i="1"/>
  <c r="T259" i="1"/>
  <c r="S259" i="1"/>
  <c r="R259" i="1"/>
  <c r="P259" i="1"/>
  <c r="N259" i="1"/>
  <c r="W248" i="1"/>
  <c r="S248" i="1"/>
  <c r="O248" i="1"/>
  <c r="N248" i="1"/>
  <c r="V248" i="1"/>
  <c r="R248" i="1"/>
  <c r="U248" i="1"/>
  <c r="Q248" i="1"/>
  <c r="T248" i="1"/>
  <c r="P248" i="1"/>
  <c r="U247" i="1"/>
  <c r="Q247" i="1"/>
  <c r="T247" i="1"/>
  <c r="P247" i="1"/>
  <c r="W247" i="1"/>
  <c r="S247" i="1"/>
  <c r="O247" i="1"/>
  <c r="V247" i="1"/>
  <c r="R247" i="1"/>
  <c r="N247" i="1"/>
  <c r="P140" i="2"/>
  <c r="Q140" i="2"/>
  <c r="R140" i="2"/>
  <c r="S140" i="2"/>
  <c r="T140" i="2"/>
  <c r="I203" i="2" l="1"/>
  <c r="P203" i="2" s="1"/>
  <c r="T203" i="2" l="1"/>
  <c r="Q203" i="2"/>
  <c r="S203" i="2"/>
  <c r="R203" i="2"/>
  <c r="P216" i="2" l="1"/>
  <c r="P183" i="2"/>
  <c r="P133" i="2"/>
  <c r="P86" i="2"/>
  <c r="P84" i="2"/>
  <c r="P73" i="2"/>
  <c r="Q244" i="2" l="1"/>
  <c r="R244" i="2"/>
  <c r="S244" i="2"/>
  <c r="T244" i="2"/>
  <c r="U91" i="2" l="1"/>
  <c r="U92" i="2"/>
  <c r="U9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S206" i="2" l="1"/>
  <c r="P206" i="2"/>
  <c r="T206" i="2"/>
  <c r="Q206" i="2"/>
  <c r="R206" i="2"/>
  <c r="R204" i="2"/>
  <c r="S204" i="2"/>
  <c r="P204" i="2"/>
  <c r="T204" i="2"/>
  <c r="Q204" i="2"/>
  <c r="P205" i="2"/>
  <c r="T205" i="2"/>
  <c r="Q205" i="2"/>
  <c r="R205" i="2"/>
  <c r="S205" i="2"/>
  <c r="S212" i="2"/>
  <c r="P212" i="2"/>
  <c r="T212" i="2"/>
  <c r="Q212" i="2"/>
  <c r="R212" i="2"/>
  <c r="P215" i="2"/>
  <c r="T215" i="2"/>
  <c r="Q215" i="2"/>
  <c r="R215" i="2"/>
  <c r="S215" i="2"/>
  <c r="P211" i="2"/>
  <c r="T211" i="2"/>
  <c r="Q211" i="2"/>
  <c r="R211" i="2"/>
  <c r="S211" i="2"/>
  <c r="P207" i="2"/>
  <c r="T207" i="2"/>
  <c r="Q207" i="2"/>
  <c r="R207" i="2"/>
  <c r="S207" i="2"/>
  <c r="R213" i="2"/>
  <c r="S213" i="2"/>
  <c r="P213" i="2"/>
  <c r="T213" i="2"/>
  <c r="Q213" i="2"/>
  <c r="S208" i="2"/>
  <c r="P208" i="2"/>
  <c r="T208" i="2"/>
  <c r="Q208" i="2"/>
  <c r="R208" i="2"/>
  <c r="Q214" i="2"/>
  <c r="R214" i="2"/>
  <c r="S214" i="2"/>
  <c r="P214" i="2"/>
  <c r="T214" i="2"/>
  <c r="Q210" i="2"/>
  <c r="R210" i="2"/>
  <c r="S210" i="2"/>
  <c r="P210" i="2"/>
  <c r="T210" i="2"/>
  <c r="R209" i="2"/>
  <c r="S209" i="2"/>
  <c r="P209" i="2"/>
  <c r="T209" i="2"/>
  <c r="Q209" i="2"/>
  <c r="U203" i="2"/>
  <c r="D221" i="1"/>
  <c r="E221" i="1"/>
  <c r="F221" i="1"/>
  <c r="G221" i="1"/>
  <c r="C221" i="1"/>
  <c r="T95" i="2"/>
  <c r="S95" i="2"/>
  <c r="R95" i="2"/>
  <c r="Q95" i="2"/>
  <c r="P95" i="2"/>
  <c r="U94" i="2"/>
  <c r="U90" i="2"/>
  <c r="U89" i="2"/>
  <c r="U137" i="2"/>
  <c r="U138" i="2"/>
  <c r="U139" i="2"/>
  <c r="U136" i="2"/>
  <c r="A189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188" i="1"/>
  <c r="A159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58" i="1"/>
  <c r="A146" i="1"/>
  <c r="A147" i="1"/>
  <c r="A148" i="1"/>
  <c r="A149" i="1"/>
  <c r="A150" i="1"/>
  <c r="A151" i="1"/>
  <c r="A152" i="1"/>
  <c r="A153" i="1"/>
  <c r="A154" i="1"/>
  <c r="A155" i="1"/>
  <c r="Q216" i="2"/>
  <c r="R216" i="2"/>
  <c r="S216" i="2"/>
  <c r="T216" i="2"/>
  <c r="P202" i="2" l="1"/>
  <c r="H221" i="1"/>
  <c r="U140" i="2"/>
  <c r="U95" i="2"/>
  <c r="U213" i="2"/>
  <c r="U208" i="2"/>
  <c r="U212" i="2"/>
  <c r="U209" i="2"/>
  <c r="U214" i="2"/>
  <c r="U215" i="2"/>
  <c r="U211" i="2"/>
  <c r="U207" i="2"/>
  <c r="U210" i="2"/>
  <c r="U206" i="2"/>
  <c r="U204" i="2"/>
  <c r="U205" i="2"/>
  <c r="Q202" i="2"/>
  <c r="R202" i="2"/>
  <c r="S202" i="2"/>
  <c r="B15" i="1"/>
  <c r="C1" i="1"/>
  <c r="B3" i="1"/>
  <c r="C9" i="3"/>
  <c r="A6" i="3"/>
  <c r="Q85" i="2"/>
  <c r="R85" i="2"/>
  <c r="S85" i="2"/>
  <c r="T85" i="2"/>
  <c r="P85" i="2"/>
  <c r="Q84" i="2"/>
  <c r="R84" i="2"/>
  <c r="S84" i="2"/>
  <c r="T84" i="2"/>
  <c r="Q86" i="2"/>
  <c r="R86" i="2"/>
  <c r="S86" i="2"/>
  <c r="T86" i="2"/>
  <c r="H130" i="1"/>
  <c r="D129" i="1"/>
  <c r="E129" i="1"/>
  <c r="F129" i="1"/>
  <c r="G129" i="1"/>
  <c r="C129" i="1"/>
  <c r="C158" i="1" s="1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4" i="4"/>
  <c r="B5" i="4"/>
  <c r="A390" i="1" s="1"/>
  <c r="B6" i="4"/>
  <c r="A391" i="1" s="1"/>
  <c r="B7" i="4"/>
  <c r="A392" i="1" s="1"/>
  <c r="B8" i="4"/>
  <c r="A393" i="1" s="1"/>
  <c r="B9" i="4"/>
  <c r="A394" i="1" s="1"/>
  <c r="B10" i="4"/>
  <c r="A395" i="1" s="1"/>
  <c r="B11" i="4"/>
  <c r="A396" i="1" s="1"/>
  <c r="B12" i="4"/>
  <c r="A397" i="1" s="1"/>
  <c r="B13" i="4"/>
  <c r="A398" i="1" s="1"/>
  <c r="B14" i="4"/>
  <c r="A399" i="1" s="1"/>
  <c r="B15" i="4"/>
  <c r="A400" i="1" s="1"/>
  <c r="B16" i="4"/>
  <c r="A401" i="1" s="1"/>
  <c r="B17" i="4"/>
  <c r="A402" i="1" s="1"/>
  <c r="B18" i="4"/>
  <c r="A403" i="1" s="1"/>
  <c r="B19" i="4"/>
  <c r="A404" i="1" s="1"/>
  <c r="B20" i="4"/>
  <c r="A405" i="1" s="1"/>
  <c r="B21" i="4"/>
  <c r="A406" i="1" s="1"/>
  <c r="B22" i="4"/>
  <c r="A407" i="1" s="1"/>
  <c r="B23" i="4"/>
  <c r="A408" i="1" s="1"/>
  <c r="B24" i="4"/>
  <c r="A409" i="1" s="1"/>
  <c r="B25" i="4"/>
  <c r="A410" i="1" s="1"/>
  <c r="B26" i="4"/>
  <c r="A411" i="1" s="1"/>
  <c r="B27" i="4"/>
  <c r="A412" i="1" s="1"/>
  <c r="B4" i="4"/>
  <c r="A389" i="1" s="1"/>
  <c r="A3" i="4"/>
  <c r="C224" i="1"/>
  <c r="D224" i="1" s="1"/>
  <c r="C226" i="1"/>
  <c r="D226" i="1" s="1"/>
  <c r="C227" i="1"/>
  <c r="D227" i="1" s="1"/>
  <c r="C228" i="1"/>
  <c r="D228" i="1" s="1"/>
  <c r="C229" i="1"/>
  <c r="D229" i="1" s="1"/>
  <c r="C230" i="1"/>
  <c r="D230" i="1" s="1"/>
  <c r="C231" i="1"/>
  <c r="D231" i="1" s="1"/>
  <c r="C232" i="1"/>
  <c r="D232" i="1" s="1"/>
  <c r="C233" i="1"/>
  <c r="D233" i="1" s="1"/>
  <c r="C234" i="1"/>
  <c r="D234" i="1" s="1"/>
  <c r="C223" i="1"/>
  <c r="D223" i="1" s="1"/>
  <c r="B224" i="1"/>
  <c r="B225" i="1"/>
  <c r="B226" i="1"/>
  <c r="B227" i="1"/>
  <c r="B228" i="1"/>
  <c r="B229" i="1"/>
  <c r="B230" i="1"/>
  <c r="B231" i="1"/>
  <c r="B232" i="1"/>
  <c r="B233" i="1"/>
  <c r="B234" i="1"/>
  <c r="B223" i="1"/>
  <c r="A233" i="1"/>
  <c r="A234" i="1"/>
  <c r="A224" i="1"/>
  <c r="A225" i="1"/>
  <c r="A226" i="1"/>
  <c r="A227" i="1"/>
  <c r="A228" i="1"/>
  <c r="A229" i="1"/>
  <c r="A230" i="1"/>
  <c r="A231" i="1"/>
  <c r="A232" i="1"/>
  <c r="U231" i="2"/>
  <c r="U232" i="2"/>
  <c r="U233" i="2"/>
  <c r="U234" i="2"/>
  <c r="U235" i="2"/>
  <c r="U236" i="2"/>
  <c r="U237" i="2"/>
  <c r="U230" i="2"/>
  <c r="U228" i="2"/>
  <c r="U229" i="2"/>
  <c r="U238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83" i="2"/>
  <c r="C225" i="1"/>
  <c r="D225" i="1" s="1"/>
  <c r="B2" i="1"/>
  <c r="B4" i="1" s="1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43" i="2"/>
  <c r="B42" i="2"/>
  <c r="B41" i="2"/>
  <c r="B40" i="2"/>
  <c r="B39" i="2"/>
  <c r="B38" i="2"/>
  <c r="B37" i="2"/>
  <c r="B36" i="2"/>
  <c r="B291" i="1"/>
  <c r="B292" i="1"/>
  <c r="B295" i="1"/>
  <c r="D301" i="1"/>
  <c r="D331" i="1" s="1"/>
  <c r="D302" i="1"/>
  <c r="D332" i="1" s="1"/>
  <c r="U63" i="2"/>
  <c r="U75" i="2" s="1"/>
  <c r="U98" i="2" s="1"/>
  <c r="U155" i="2" s="1"/>
  <c r="U142" i="2" s="1"/>
  <c r="Q35" i="2"/>
  <c r="R35" i="2"/>
  <c r="S35" i="2"/>
  <c r="T35" i="2"/>
  <c r="P35" i="2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A239" i="1"/>
  <c r="A280" i="1" s="1"/>
  <c r="A310" i="1" s="1"/>
  <c r="A337" i="1" s="1"/>
  <c r="A363" i="1" s="1"/>
  <c r="A240" i="1"/>
  <c r="A281" i="1" s="1"/>
  <c r="A311" i="1" s="1"/>
  <c r="A338" i="1" s="1"/>
  <c r="A364" i="1" s="1"/>
  <c r="A241" i="1"/>
  <c r="A282" i="1" s="1"/>
  <c r="A312" i="1" s="1"/>
  <c r="A339" i="1" s="1"/>
  <c r="A365" i="1" s="1"/>
  <c r="A242" i="1"/>
  <c r="A283" i="1" s="1"/>
  <c r="A313" i="1" s="1"/>
  <c r="A340" i="1" s="1"/>
  <c r="A366" i="1" s="1"/>
  <c r="A243" i="1"/>
  <c r="A284" i="1" s="1"/>
  <c r="A314" i="1" s="1"/>
  <c r="A341" i="1" s="1"/>
  <c r="A367" i="1" s="1"/>
  <c r="A244" i="1"/>
  <c r="A285" i="1" s="1"/>
  <c r="A315" i="1" s="1"/>
  <c r="A342" i="1" s="1"/>
  <c r="A368" i="1" s="1"/>
  <c r="A245" i="1"/>
  <c r="A286" i="1" s="1"/>
  <c r="A316" i="1" s="1"/>
  <c r="A343" i="1" s="1"/>
  <c r="A369" i="1" s="1"/>
  <c r="A246" i="1"/>
  <c r="A287" i="1" s="1"/>
  <c r="A317" i="1" s="1"/>
  <c r="A344" i="1" s="1"/>
  <c r="A370" i="1" s="1"/>
  <c r="A247" i="1"/>
  <c r="A288" i="1" s="1"/>
  <c r="A318" i="1" s="1"/>
  <c r="A345" i="1" s="1"/>
  <c r="A371" i="1" s="1"/>
  <c r="A248" i="1"/>
  <c r="A289" i="1" s="1"/>
  <c r="A319" i="1" s="1"/>
  <c r="A346" i="1" s="1"/>
  <c r="A372" i="1" s="1"/>
  <c r="A249" i="1"/>
  <c r="A290" i="1" s="1"/>
  <c r="A320" i="1" s="1"/>
  <c r="A347" i="1" s="1"/>
  <c r="A373" i="1" s="1"/>
  <c r="A250" i="1"/>
  <c r="A291" i="1" s="1"/>
  <c r="A321" i="1" s="1"/>
  <c r="A348" i="1" s="1"/>
  <c r="A374" i="1" s="1"/>
  <c r="A251" i="1"/>
  <c r="A292" i="1" s="1"/>
  <c r="A322" i="1" s="1"/>
  <c r="A349" i="1" s="1"/>
  <c r="A375" i="1" s="1"/>
  <c r="A252" i="1"/>
  <c r="A293" i="1" s="1"/>
  <c r="A323" i="1" s="1"/>
  <c r="A350" i="1" s="1"/>
  <c r="A376" i="1" s="1"/>
  <c r="A253" i="1"/>
  <c r="A294" i="1" s="1"/>
  <c r="A324" i="1" s="1"/>
  <c r="A351" i="1" s="1"/>
  <c r="A377" i="1" s="1"/>
  <c r="A254" i="1"/>
  <c r="A295" i="1" s="1"/>
  <c r="A325" i="1" s="1"/>
  <c r="A352" i="1" s="1"/>
  <c r="A378" i="1" s="1"/>
  <c r="A255" i="1"/>
  <c r="A296" i="1" s="1"/>
  <c r="A326" i="1" s="1"/>
  <c r="A353" i="1" s="1"/>
  <c r="A379" i="1" s="1"/>
  <c r="A256" i="1"/>
  <c r="A297" i="1" s="1"/>
  <c r="A327" i="1" s="1"/>
  <c r="A354" i="1" s="1"/>
  <c r="A380" i="1" s="1"/>
  <c r="A257" i="1"/>
  <c r="A298" i="1" s="1"/>
  <c r="A328" i="1" s="1"/>
  <c r="A355" i="1" s="1"/>
  <c r="A381" i="1" s="1"/>
  <c r="A258" i="1"/>
  <c r="A299" i="1" s="1"/>
  <c r="A329" i="1" s="1"/>
  <c r="A356" i="1" s="1"/>
  <c r="A382" i="1" s="1"/>
  <c r="A259" i="1"/>
  <c r="A300" i="1" s="1"/>
  <c r="A330" i="1" s="1"/>
  <c r="A357" i="1" s="1"/>
  <c r="A383" i="1" s="1"/>
  <c r="A260" i="1"/>
  <c r="A301" i="1" s="1"/>
  <c r="A331" i="1" s="1"/>
  <c r="A358" i="1" s="1"/>
  <c r="A384" i="1" s="1"/>
  <c r="A261" i="1"/>
  <c r="A302" i="1" s="1"/>
  <c r="A332" i="1" s="1"/>
  <c r="A359" i="1" s="1"/>
  <c r="A385" i="1" s="1"/>
  <c r="A238" i="1"/>
  <c r="A279" i="1" s="1"/>
  <c r="A309" i="1" s="1"/>
  <c r="A336" i="1" s="1"/>
  <c r="A362" i="1" s="1"/>
  <c r="B222" i="1"/>
  <c r="A223" i="1"/>
  <c r="U243" i="2"/>
  <c r="U242" i="2"/>
  <c r="U241" i="2"/>
  <c r="U240" i="2"/>
  <c r="U239" i="2"/>
  <c r="U225" i="2"/>
  <c r="U224" i="2"/>
  <c r="U223" i="2"/>
  <c r="U222" i="2"/>
  <c r="U221" i="2"/>
  <c r="U220" i="2"/>
  <c r="U219" i="2"/>
  <c r="U218" i="2"/>
  <c r="U217" i="2"/>
  <c r="B188" i="1"/>
  <c r="C188" i="1" s="1"/>
  <c r="B158" i="1"/>
  <c r="A129" i="1"/>
  <c r="B116" i="1"/>
  <c r="T153" i="2"/>
  <c r="S153" i="2"/>
  <c r="R153" i="2"/>
  <c r="Q153" i="2"/>
  <c r="U152" i="2"/>
  <c r="U151" i="2"/>
  <c r="U150" i="2"/>
  <c r="U145" i="2"/>
  <c r="U144" i="2"/>
  <c r="U143" i="2"/>
  <c r="T183" i="2"/>
  <c r="S183" i="2"/>
  <c r="R183" i="2"/>
  <c r="Q183" i="2"/>
  <c r="U156" i="2"/>
  <c r="T133" i="2"/>
  <c r="S133" i="2"/>
  <c r="R133" i="2"/>
  <c r="Q133" i="2"/>
  <c r="U132" i="2"/>
  <c r="U131" i="2"/>
  <c r="U130" i="2"/>
  <c r="U129" i="2"/>
  <c r="U128" i="2"/>
  <c r="U100" i="2"/>
  <c r="U99" i="2"/>
  <c r="U82" i="2"/>
  <c r="U81" i="2"/>
  <c r="U80" i="2"/>
  <c r="U79" i="2"/>
  <c r="U78" i="2"/>
  <c r="U77" i="2"/>
  <c r="U76" i="2"/>
  <c r="Q73" i="2"/>
  <c r="R73" i="2"/>
  <c r="S73" i="2"/>
  <c r="T73" i="2"/>
  <c r="U64" i="2"/>
  <c r="U66" i="2"/>
  <c r="U65" i="2"/>
  <c r="U68" i="2"/>
  <c r="U67" i="2"/>
  <c r="U69" i="2"/>
  <c r="U71" i="2"/>
  <c r="U70" i="2"/>
  <c r="U72" i="2"/>
  <c r="G33" i="4"/>
  <c r="G34" i="4"/>
  <c r="G40" i="4"/>
  <c r="T33" i="4"/>
  <c r="I33" i="4"/>
  <c r="T34" i="4"/>
  <c r="I34" i="4"/>
  <c r="I40" i="4"/>
  <c r="G41" i="4"/>
  <c r="U33" i="4"/>
  <c r="K33" i="4"/>
  <c r="U34" i="4"/>
  <c r="K34" i="4"/>
  <c r="K40" i="4"/>
  <c r="I41" i="4"/>
  <c r="M33" i="4"/>
  <c r="M34" i="4"/>
  <c r="V33" i="4"/>
  <c r="M40" i="4"/>
  <c r="V34" i="4"/>
  <c r="W33" i="4"/>
  <c r="W34" i="4"/>
  <c r="K41" i="4"/>
  <c r="M41" i="4"/>
  <c r="O33" i="4"/>
  <c r="O34" i="4"/>
  <c r="O40" i="4"/>
  <c r="X33" i="4"/>
  <c r="X34" i="4"/>
  <c r="O41" i="4"/>
  <c r="U250" i="2"/>
  <c r="G32" i="4"/>
  <c r="I32" i="4"/>
  <c r="T32" i="4"/>
  <c r="U32" i="4"/>
  <c r="G39" i="4"/>
  <c r="K32" i="4"/>
  <c r="V32" i="4"/>
  <c r="O32" i="4"/>
  <c r="M32" i="4"/>
  <c r="X32" i="4"/>
  <c r="W32" i="4"/>
  <c r="M39" i="4"/>
  <c r="K39" i="4"/>
  <c r="I39" i="4"/>
  <c r="O39" i="4"/>
  <c r="D294" i="1" l="1"/>
  <c r="D324" i="1" s="1"/>
  <c r="B294" i="1"/>
  <c r="B324" i="1" s="1"/>
  <c r="H293" i="1"/>
  <c r="H323" i="1" s="1"/>
  <c r="B293" i="1"/>
  <c r="B323" i="1" s="1"/>
  <c r="B5" i="1"/>
  <c r="C2" i="1"/>
  <c r="C4" i="1" s="1"/>
  <c r="B55" i="1" s="1"/>
  <c r="B19" i="1"/>
  <c r="B23" i="1"/>
  <c r="C10" i="3"/>
  <c r="U216" i="2"/>
  <c r="E189" i="1"/>
  <c r="H159" i="1"/>
  <c r="U85" i="2"/>
  <c r="G188" i="1"/>
  <c r="T202" i="2"/>
  <c r="U202" i="2"/>
  <c r="G189" i="1"/>
  <c r="U84" i="2"/>
  <c r="U184" i="2"/>
  <c r="F294" i="1"/>
  <c r="F324" i="1" s="1"/>
  <c r="B332" i="1"/>
  <c r="U86" i="2"/>
  <c r="J302" i="1"/>
  <c r="J332" i="1" s="1"/>
  <c r="U133" i="2"/>
  <c r="J301" i="1"/>
  <c r="J331" i="1" s="1"/>
  <c r="B331" i="1"/>
  <c r="H294" i="1"/>
  <c r="H324" i="1" s="1"/>
  <c r="D188" i="1"/>
  <c r="F302" i="1"/>
  <c r="F332" i="1" s="1"/>
  <c r="J294" i="1"/>
  <c r="J324" i="1" s="1"/>
  <c r="E188" i="1"/>
  <c r="U73" i="2"/>
  <c r="F189" i="1"/>
  <c r="D189" i="1"/>
  <c r="G158" i="1"/>
  <c r="H154" i="1"/>
  <c r="H302" i="1"/>
  <c r="H332" i="1" s="1"/>
  <c r="H301" i="1"/>
  <c r="H331" i="1" s="1"/>
  <c r="F293" i="1"/>
  <c r="F323" i="1" s="1"/>
  <c r="H129" i="1"/>
  <c r="U183" i="2"/>
  <c r="F301" i="1"/>
  <c r="F331" i="1" s="1"/>
  <c r="D293" i="1"/>
  <c r="D323" i="1" s="1"/>
  <c r="D158" i="1"/>
  <c r="F158" i="1"/>
  <c r="U153" i="2"/>
  <c r="H155" i="1"/>
  <c r="J293" i="1"/>
  <c r="J323" i="1" s="1"/>
  <c r="E158" i="1"/>
  <c r="F188" i="1"/>
  <c r="U6" i="2"/>
  <c r="Y34" i="4"/>
  <c r="Y32" i="4"/>
  <c r="Q39" i="4"/>
  <c r="Q32" i="4"/>
  <c r="B16" i="1"/>
  <c r="Q33" i="4"/>
  <c r="Q41" i="4"/>
  <c r="Y33" i="4"/>
  <c r="Q34" i="4"/>
  <c r="Q40" i="4"/>
  <c r="B60" i="1" l="1"/>
  <c r="B56" i="1"/>
  <c r="N256" i="1" s="1"/>
  <c r="B59" i="1"/>
  <c r="B58" i="1"/>
  <c r="B57" i="1"/>
  <c r="N255" i="1" s="1"/>
  <c r="E267" i="1"/>
  <c r="E268" i="1" s="1"/>
  <c r="C11" i="1"/>
  <c r="C12" i="1" s="1"/>
  <c r="B64" i="1"/>
  <c r="N252" i="1" s="1"/>
  <c r="B62" i="1"/>
  <c r="B65" i="1"/>
  <c r="B71" i="1"/>
  <c r="B70" i="1"/>
  <c r="B68" i="1"/>
  <c r="B69" i="1"/>
  <c r="B67" i="1"/>
  <c r="B66" i="1"/>
  <c r="B61" i="1"/>
  <c r="B63" i="1"/>
  <c r="B118" i="1"/>
  <c r="B113" i="1"/>
  <c r="B117" i="1"/>
  <c r="B112" i="1"/>
  <c r="B115" i="1"/>
  <c r="B111" i="1"/>
  <c r="B122" i="1" s="1"/>
  <c r="B114" i="1"/>
  <c r="E269" i="1"/>
  <c r="E270" i="1" s="1"/>
  <c r="C3" i="1"/>
  <c r="C21" i="1"/>
  <c r="B17" i="1"/>
  <c r="B18" i="1" s="1"/>
  <c r="B20" i="1" s="1"/>
  <c r="C8" i="1"/>
  <c r="C6" i="1" s="1"/>
  <c r="M15" i="1"/>
  <c r="G215" i="1"/>
  <c r="H189" i="1"/>
  <c r="F215" i="1"/>
  <c r="D215" i="1"/>
  <c r="E215" i="1"/>
  <c r="G185" i="1"/>
  <c r="E185" i="1"/>
  <c r="F185" i="1"/>
  <c r="H158" i="1"/>
  <c r="D185" i="1"/>
  <c r="H188" i="1"/>
  <c r="C215" i="1"/>
  <c r="U2" i="2"/>
  <c r="P4" i="2"/>
  <c r="N251" i="1" l="1"/>
  <c r="N257" i="1"/>
  <c r="N249" i="1"/>
  <c r="N242" i="1"/>
  <c r="N243" i="1"/>
  <c r="N240" i="1"/>
  <c r="N241" i="1"/>
  <c r="N250" i="1"/>
  <c r="C22" i="1"/>
  <c r="C5" i="1"/>
  <c r="C17" i="1"/>
  <c r="B24" i="1"/>
  <c r="H215" i="1"/>
  <c r="D2" i="1"/>
  <c r="D4" i="1" s="1"/>
  <c r="C18" i="1"/>
  <c r="P6" i="2"/>
  <c r="C19" i="1"/>
  <c r="N244" i="1" l="1"/>
  <c r="N254" i="1"/>
  <c r="N246" i="1"/>
  <c r="N239" i="1"/>
  <c r="H6" i="4"/>
  <c r="H11" i="4"/>
  <c r="H15" i="4"/>
  <c r="H14" i="4"/>
  <c r="H7" i="4"/>
  <c r="H12" i="4"/>
  <c r="H8" i="4"/>
  <c r="H13" i="4"/>
  <c r="H10" i="4"/>
  <c r="M16" i="1"/>
  <c r="K187" i="2" s="1"/>
  <c r="D117" i="1"/>
  <c r="D114" i="1"/>
  <c r="D112" i="1"/>
  <c r="D118" i="1"/>
  <c r="D115" i="1"/>
  <c r="D113" i="1"/>
  <c r="D111" i="1"/>
  <c r="B21" i="1"/>
  <c r="B22" i="1" s="1"/>
  <c r="N15" i="1"/>
  <c r="C24" i="1"/>
  <c r="D3" i="1"/>
  <c r="E223" i="1"/>
  <c r="F269" i="1"/>
  <c r="F267" i="1"/>
  <c r="B238" i="1"/>
  <c r="B239" i="1" s="1"/>
  <c r="C9" i="1"/>
  <c r="C7" i="1"/>
  <c r="C55" i="1" s="1"/>
  <c r="C65" i="1" l="1"/>
  <c r="C59" i="1"/>
  <c r="C60" i="1"/>
  <c r="C68" i="1"/>
  <c r="C67" i="1"/>
  <c r="C62" i="1"/>
  <c r="C57" i="1"/>
  <c r="O255" i="1" s="1"/>
  <c r="C64" i="1"/>
  <c r="C69" i="1"/>
  <c r="C63" i="1"/>
  <c r="O257" i="1" s="1"/>
  <c r="C58" i="1"/>
  <c r="C70" i="1"/>
  <c r="C61" i="1"/>
  <c r="C66" i="1"/>
  <c r="C71" i="1"/>
  <c r="C56" i="1"/>
  <c r="O256" i="1" s="1"/>
  <c r="C25" i="1"/>
  <c r="D122" i="1"/>
  <c r="C118" i="1"/>
  <c r="C115" i="1"/>
  <c r="C113" i="1"/>
  <c r="C111" i="1"/>
  <c r="C117" i="1"/>
  <c r="C112" i="1"/>
  <c r="C114" i="1"/>
  <c r="Q6" i="2"/>
  <c r="D8" i="1"/>
  <c r="D6" i="1" s="1"/>
  <c r="E2" i="1"/>
  <c r="C27" i="1"/>
  <c r="F223" i="1"/>
  <c r="D19" i="1"/>
  <c r="D5" i="1"/>
  <c r="C26" i="1"/>
  <c r="C28" i="1" s="1"/>
  <c r="E234" i="1"/>
  <c r="F234" i="1" s="1"/>
  <c r="E233" i="1"/>
  <c r="F233" i="1" s="1"/>
  <c r="E232" i="1"/>
  <c r="F232" i="1" s="1"/>
  <c r="E231" i="1"/>
  <c r="F231" i="1" s="1"/>
  <c r="E227" i="1"/>
  <c r="F227" i="1" s="1"/>
  <c r="E230" i="1"/>
  <c r="F230" i="1" s="1"/>
  <c r="E229" i="1"/>
  <c r="F229" i="1" s="1"/>
  <c r="E228" i="1"/>
  <c r="F228" i="1" s="1"/>
  <c r="E226" i="1"/>
  <c r="F226" i="1" s="1"/>
  <c r="E225" i="1"/>
  <c r="F225" i="1" s="1"/>
  <c r="E224" i="1"/>
  <c r="F224" i="1" s="1"/>
  <c r="E273" i="1"/>
  <c r="D11" i="1"/>
  <c r="F268" i="1"/>
  <c r="F270" i="1"/>
  <c r="H238" i="1"/>
  <c r="E271" i="1"/>
  <c r="C10" i="1"/>
  <c r="B389" i="1" s="1"/>
  <c r="C13" i="1"/>
  <c r="B240" i="1"/>
  <c r="H239" i="1"/>
  <c r="D58" i="1" l="1"/>
  <c r="D60" i="1"/>
  <c r="D55" i="1"/>
  <c r="D59" i="1"/>
  <c r="D56" i="1"/>
  <c r="P256" i="1" s="1"/>
  <c r="D57" i="1"/>
  <c r="P255" i="1" s="1"/>
  <c r="D66" i="1"/>
  <c r="D70" i="1"/>
  <c r="D64" i="1"/>
  <c r="P252" i="1" s="1"/>
  <c r="D67" i="1"/>
  <c r="D71" i="1"/>
  <c r="D61" i="1"/>
  <c r="D68" i="1"/>
  <c r="D62" i="1"/>
  <c r="D65" i="1"/>
  <c r="D69" i="1"/>
  <c r="D63" i="1"/>
  <c r="E4" i="1"/>
  <c r="O251" i="1"/>
  <c r="O250" i="1"/>
  <c r="O240" i="1"/>
  <c r="O241" i="1"/>
  <c r="O242" i="1"/>
  <c r="O243" i="1"/>
  <c r="O249" i="1"/>
  <c r="O244" i="1"/>
  <c r="O254" i="1"/>
  <c r="O252" i="1"/>
  <c r="O246" i="1"/>
  <c r="O239" i="1"/>
  <c r="B279" i="1"/>
  <c r="C279" i="1" s="1"/>
  <c r="C309" i="1" s="1"/>
  <c r="C122" i="1"/>
  <c r="B6" i="3" s="1"/>
  <c r="B78" i="1"/>
  <c r="G53" i="2" s="1"/>
  <c r="J7" i="4"/>
  <c r="J12" i="4"/>
  <c r="J11" i="4"/>
  <c r="J8" i="4"/>
  <c r="J13" i="4"/>
  <c r="J15" i="4"/>
  <c r="J10" i="4"/>
  <c r="J14" i="4"/>
  <c r="J6" i="4"/>
  <c r="P14" i="2"/>
  <c r="B412" i="1"/>
  <c r="B394" i="1"/>
  <c r="B407" i="1"/>
  <c r="B396" i="1"/>
  <c r="B410" i="1"/>
  <c r="B405" i="1"/>
  <c r="B397" i="1"/>
  <c r="B409" i="1"/>
  <c r="B404" i="1"/>
  <c r="B406" i="1"/>
  <c r="B393" i="1"/>
  <c r="B400" i="1"/>
  <c r="B402" i="1"/>
  <c r="B391" i="1"/>
  <c r="N16" i="1"/>
  <c r="B398" i="1"/>
  <c r="B411" i="1"/>
  <c r="B399" i="1"/>
  <c r="B392" i="1"/>
  <c r="B395" i="1"/>
  <c r="B401" i="1"/>
  <c r="B403" i="1"/>
  <c r="B408" i="1"/>
  <c r="B390" i="1"/>
  <c r="E3" i="1"/>
  <c r="G269" i="1"/>
  <c r="G267" i="1"/>
  <c r="O15" i="1"/>
  <c r="C29" i="1"/>
  <c r="C30" i="1" s="1"/>
  <c r="D24" i="1"/>
  <c r="L399" i="1"/>
  <c r="L408" i="1"/>
  <c r="G23" i="4" s="1"/>
  <c r="L389" i="1"/>
  <c r="H4" i="4" s="1"/>
  <c r="L400" i="1"/>
  <c r="L390" i="1"/>
  <c r="L411" i="1"/>
  <c r="G26" i="4" s="1"/>
  <c r="L401" i="1"/>
  <c r="G16" i="4" s="1"/>
  <c r="L407" i="1"/>
  <c r="G22" i="4" s="1"/>
  <c r="L402" i="1"/>
  <c r="G17" i="4" s="1"/>
  <c r="L396" i="1"/>
  <c r="L393" i="1"/>
  <c r="L406" i="1"/>
  <c r="G21" i="4" s="1"/>
  <c r="L392" i="1"/>
  <c r="L412" i="1"/>
  <c r="G27" i="4" s="1"/>
  <c r="L410" i="1"/>
  <c r="G25" i="4" s="1"/>
  <c r="L395" i="1"/>
  <c r="L405" i="1"/>
  <c r="G20" i="4" s="1"/>
  <c r="L391" i="1"/>
  <c r="L403" i="1"/>
  <c r="G18" i="4" s="1"/>
  <c r="L394" i="1"/>
  <c r="L409" i="1"/>
  <c r="G24" i="4" s="1"/>
  <c r="L397" i="1"/>
  <c r="L398" i="1"/>
  <c r="L404" i="1"/>
  <c r="G19" i="4" s="1"/>
  <c r="B310" i="1"/>
  <c r="B77" i="1"/>
  <c r="G54" i="2" s="1"/>
  <c r="P8" i="2"/>
  <c r="P187" i="2"/>
  <c r="K223" i="1"/>
  <c r="P189" i="2" s="1"/>
  <c r="H162" i="1" s="1"/>
  <c r="E265" i="1"/>
  <c r="B309" i="1" s="1"/>
  <c r="K227" i="1"/>
  <c r="P193" i="2" s="1"/>
  <c r="H166" i="1" s="1"/>
  <c r="D12" i="1"/>
  <c r="D18" i="1"/>
  <c r="P31" i="2"/>
  <c r="P18" i="2"/>
  <c r="P12" i="2"/>
  <c r="E274" i="1"/>
  <c r="P20" i="2"/>
  <c r="P25" i="2"/>
  <c r="P11" i="2"/>
  <c r="P30" i="2"/>
  <c r="P22" i="2"/>
  <c r="P28" i="2"/>
  <c r="P15" i="2"/>
  <c r="P21" i="2"/>
  <c r="P9" i="2"/>
  <c r="P10" i="2"/>
  <c r="P13" i="2"/>
  <c r="P16" i="2"/>
  <c r="P26" i="2"/>
  <c r="P23" i="2"/>
  <c r="P19" i="2"/>
  <c r="P17" i="2"/>
  <c r="P24" i="2"/>
  <c r="P29" i="2"/>
  <c r="P27" i="2"/>
  <c r="Q2" i="2"/>
  <c r="D7" i="1"/>
  <c r="E55" i="1" s="1"/>
  <c r="D17" i="1"/>
  <c r="D9" i="1"/>
  <c r="C238" i="1"/>
  <c r="C239" i="1" s="1"/>
  <c r="I239" i="1" s="1"/>
  <c r="E272" i="1"/>
  <c r="C14" i="1"/>
  <c r="E266" i="1" s="1"/>
  <c r="G34" i="2"/>
  <c r="B241" i="1"/>
  <c r="H240" i="1"/>
  <c r="P251" i="1" l="1"/>
  <c r="P257" i="1"/>
  <c r="B124" i="1"/>
  <c r="E57" i="1"/>
  <c r="Q255" i="1" s="1"/>
  <c r="E60" i="1"/>
  <c r="F114" i="1"/>
  <c r="E59" i="1"/>
  <c r="G230" i="1"/>
  <c r="G232" i="1"/>
  <c r="E8" i="1"/>
  <c r="E6" i="1" s="1"/>
  <c r="E17" i="1" s="1"/>
  <c r="F111" i="1"/>
  <c r="E56" i="1"/>
  <c r="Q256" i="1" s="1"/>
  <c r="E11" i="1"/>
  <c r="E12" i="1" s="1"/>
  <c r="G223" i="1"/>
  <c r="G225" i="1"/>
  <c r="G234" i="1"/>
  <c r="G229" i="1"/>
  <c r="G268" i="1"/>
  <c r="F113" i="1"/>
  <c r="G233" i="1"/>
  <c r="G228" i="1"/>
  <c r="G226" i="1"/>
  <c r="G231" i="1"/>
  <c r="G227" i="1"/>
  <c r="G224" i="1"/>
  <c r="G270" i="1"/>
  <c r="F112" i="1"/>
  <c r="F115" i="1"/>
  <c r="F117" i="1"/>
  <c r="F118" i="1"/>
  <c r="C5" i="3"/>
  <c r="B5" i="3"/>
  <c r="C6" i="3"/>
  <c r="A10" i="3" s="1"/>
  <c r="P240" i="1"/>
  <c r="P241" i="1"/>
  <c r="P250" i="1"/>
  <c r="P243" i="1"/>
  <c r="P249" i="1"/>
  <c r="P242" i="1"/>
  <c r="P254" i="1"/>
  <c r="P244" i="1"/>
  <c r="E65" i="1"/>
  <c r="C86" i="1" s="1"/>
  <c r="E69" i="1"/>
  <c r="E62" i="1"/>
  <c r="Q250" i="1" s="1"/>
  <c r="E66" i="1"/>
  <c r="E70" i="1"/>
  <c r="E63" i="1"/>
  <c r="E67" i="1"/>
  <c r="E71" i="1"/>
  <c r="E64" i="1"/>
  <c r="Q252" i="1" s="1"/>
  <c r="E68" i="1"/>
  <c r="E61" i="1"/>
  <c r="P239" i="1"/>
  <c r="P246" i="1"/>
  <c r="Q246" i="1"/>
  <c r="H9" i="4"/>
  <c r="H5" i="4"/>
  <c r="G15" i="4"/>
  <c r="T15" i="4" s="1"/>
  <c r="G13" i="4"/>
  <c r="T13" i="4" s="1"/>
  <c r="E117" i="1"/>
  <c r="E114" i="1"/>
  <c r="E112" i="1"/>
  <c r="E113" i="1"/>
  <c r="E118" i="1"/>
  <c r="E115" i="1"/>
  <c r="E111" i="1"/>
  <c r="F2" i="1"/>
  <c r="F3" i="1" s="1"/>
  <c r="G4" i="4"/>
  <c r="G14" i="4"/>
  <c r="G11" i="4"/>
  <c r="G12" i="4"/>
  <c r="G31" i="4"/>
  <c r="E5" i="1"/>
  <c r="D13" i="1"/>
  <c r="E19" i="1"/>
  <c r="R6" i="2"/>
  <c r="G5" i="4"/>
  <c r="P245" i="2"/>
  <c r="G6" i="4"/>
  <c r="G8" i="4"/>
  <c r="G7" i="4"/>
  <c r="G9" i="4"/>
  <c r="B311" i="1"/>
  <c r="G10" i="4"/>
  <c r="T16" i="4"/>
  <c r="T27" i="4"/>
  <c r="T20" i="4"/>
  <c r="T18" i="4"/>
  <c r="T25" i="4"/>
  <c r="T23" i="4"/>
  <c r="T19" i="4"/>
  <c r="T22" i="4"/>
  <c r="T17" i="4"/>
  <c r="T26" i="4"/>
  <c r="T21" i="4"/>
  <c r="T24" i="4"/>
  <c r="B450" i="1"/>
  <c r="B418" i="1"/>
  <c r="B433" i="1"/>
  <c r="B435" i="1"/>
  <c r="B441" i="1"/>
  <c r="B459" i="1"/>
  <c r="B461" i="1"/>
  <c r="B444" i="1"/>
  <c r="B415" i="1"/>
  <c r="B424" i="1"/>
  <c r="B451" i="1"/>
  <c r="B425" i="1"/>
  <c r="C280" i="1"/>
  <c r="C310" i="1" s="1"/>
  <c r="B423" i="1"/>
  <c r="B449" i="1"/>
  <c r="B434" i="1"/>
  <c r="B460" i="1"/>
  <c r="B416" i="1"/>
  <c r="B442" i="1"/>
  <c r="B428" i="1"/>
  <c r="B454" i="1"/>
  <c r="B437" i="1"/>
  <c r="B463" i="1"/>
  <c r="B432" i="1"/>
  <c r="B458" i="1"/>
  <c r="B430" i="1"/>
  <c r="B456" i="1"/>
  <c r="B427" i="1"/>
  <c r="B453" i="1"/>
  <c r="B436" i="1"/>
  <c r="B462" i="1"/>
  <c r="B422" i="1"/>
  <c r="B448" i="1"/>
  <c r="B438" i="1"/>
  <c r="B464" i="1"/>
  <c r="B426" i="1"/>
  <c r="B452" i="1"/>
  <c r="B421" i="1"/>
  <c r="B447" i="1"/>
  <c r="B417" i="1"/>
  <c r="B443" i="1"/>
  <c r="B419" i="1"/>
  <c r="B445" i="1"/>
  <c r="B431" i="1"/>
  <c r="B457" i="1"/>
  <c r="B429" i="1"/>
  <c r="B455" i="1"/>
  <c r="B420" i="1"/>
  <c r="B446" i="1"/>
  <c r="P57" i="2"/>
  <c r="AA25" i="4" s="1"/>
  <c r="P56" i="2"/>
  <c r="AA24" i="4" s="1"/>
  <c r="P50" i="2"/>
  <c r="AA18" i="4" s="1"/>
  <c r="P48" i="2"/>
  <c r="AA16" i="4" s="1"/>
  <c r="P55" i="2"/>
  <c r="AA23" i="4" s="1"/>
  <c r="P49" i="2"/>
  <c r="AA17" i="4" s="1"/>
  <c r="P58" i="2"/>
  <c r="AA26" i="4" s="1"/>
  <c r="P59" i="2"/>
  <c r="AA27" i="4" s="1"/>
  <c r="L187" i="2"/>
  <c r="D25" i="1"/>
  <c r="D27" i="1" s="1"/>
  <c r="K228" i="1"/>
  <c r="P194" i="2" s="1"/>
  <c r="H167" i="1" s="1"/>
  <c r="K234" i="1"/>
  <c r="P200" i="2" s="1"/>
  <c r="H173" i="1" s="1"/>
  <c r="K232" i="1"/>
  <c r="P198" i="2" s="1"/>
  <c r="H171" i="1" s="1"/>
  <c r="K226" i="1"/>
  <c r="P192" i="2" s="1"/>
  <c r="H165" i="1" s="1"/>
  <c r="K229" i="1"/>
  <c r="P195" i="2" s="1"/>
  <c r="H168" i="1" s="1"/>
  <c r="K230" i="1"/>
  <c r="P196" i="2" s="1"/>
  <c r="H169" i="1" s="1"/>
  <c r="K233" i="1"/>
  <c r="P199" i="2" s="1"/>
  <c r="H172" i="1" s="1"/>
  <c r="K224" i="1"/>
  <c r="P190" i="2" s="1"/>
  <c r="H163" i="1" s="1"/>
  <c r="K231" i="1"/>
  <c r="P197" i="2" s="1"/>
  <c r="H170" i="1" s="1"/>
  <c r="K225" i="1"/>
  <c r="P191" i="2" s="1"/>
  <c r="H164" i="1" s="1"/>
  <c r="E18" i="1"/>
  <c r="D10" i="1"/>
  <c r="E58" i="1" s="1"/>
  <c r="P32" i="2"/>
  <c r="I238" i="1"/>
  <c r="F273" i="1"/>
  <c r="F271" i="1"/>
  <c r="D280" i="1" s="1"/>
  <c r="D310" i="1" s="1"/>
  <c r="C240" i="1"/>
  <c r="I240" i="1" s="1"/>
  <c r="H241" i="1"/>
  <c r="B312" i="1" s="1"/>
  <c r="B242" i="1"/>
  <c r="Q242" i="1" l="1"/>
  <c r="C84" i="1"/>
  <c r="H55" i="2" s="1"/>
  <c r="Q257" i="1"/>
  <c r="Q241" i="1"/>
  <c r="Q249" i="1"/>
  <c r="Q251" i="1"/>
  <c r="Q239" i="1"/>
  <c r="D402" i="1"/>
  <c r="Q240" i="1"/>
  <c r="Q243" i="1"/>
  <c r="F56" i="1"/>
  <c r="R256" i="1" s="1"/>
  <c r="F60" i="1"/>
  <c r="F64" i="1"/>
  <c r="R252" i="1" s="1"/>
  <c r="F68" i="1"/>
  <c r="F61" i="1"/>
  <c r="F57" i="1"/>
  <c r="R255" i="1" s="1"/>
  <c r="F65" i="1"/>
  <c r="F69" i="1"/>
  <c r="F58" i="1"/>
  <c r="F62" i="1"/>
  <c r="F66" i="1"/>
  <c r="F70" i="1"/>
  <c r="F59" i="1"/>
  <c r="F63" i="1"/>
  <c r="F67" i="1"/>
  <c r="F71" i="1"/>
  <c r="E122" i="1"/>
  <c r="D6" i="3" s="1"/>
  <c r="G2" i="1"/>
  <c r="G3" i="1" s="1"/>
  <c r="N389" i="1"/>
  <c r="R2" i="2"/>
  <c r="L8" i="4"/>
  <c r="L13" i="4"/>
  <c r="L7" i="4"/>
  <c r="L10" i="4"/>
  <c r="L14" i="4"/>
  <c r="L12" i="4"/>
  <c r="L6" i="4"/>
  <c r="L11" i="4"/>
  <c r="L15" i="4"/>
  <c r="D391" i="1"/>
  <c r="D394" i="1"/>
  <c r="D410" i="1"/>
  <c r="D399" i="1"/>
  <c r="D389" i="1"/>
  <c r="D390" i="1"/>
  <c r="D412" i="1"/>
  <c r="D409" i="1"/>
  <c r="D405" i="1"/>
  <c r="D431" i="1" s="1"/>
  <c r="D397" i="1"/>
  <c r="D395" i="1"/>
  <c r="D393" i="1"/>
  <c r="D404" i="1"/>
  <c r="D411" i="1"/>
  <c r="D398" i="1"/>
  <c r="O16" i="1"/>
  <c r="M187" i="2" s="1"/>
  <c r="D400" i="1"/>
  <c r="D396" i="1"/>
  <c r="D408" i="1"/>
  <c r="D401" i="1"/>
  <c r="D407" i="1"/>
  <c r="D403" i="1"/>
  <c r="D392" i="1"/>
  <c r="D406" i="1"/>
  <c r="T14" i="4"/>
  <c r="T11" i="4"/>
  <c r="T9" i="4"/>
  <c r="T12" i="4"/>
  <c r="T6" i="4"/>
  <c r="T7" i="4"/>
  <c r="T5" i="4"/>
  <c r="T10" i="4"/>
  <c r="T8" i="4"/>
  <c r="T4" i="4"/>
  <c r="T31" i="4" s="1"/>
  <c r="E9" i="1"/>
  <c r="G271" i="1" s="1"/>
  <c r="E7" i="1"/>
  <c r="D238" i="1"/>
  <c r="D239" i="1" s="1"/>
  <c r="D240" i="1" s="1"/>
  <c r="E24" i="1"/>
  <c r="N395" i="1"/>
  <c r="C281" i="1"/>
  <c r="C311" i="1" s="1"/>
  <c r="N402" i="1"/>
  <c r="N397" i="1"/>
  <c r="N405" i="1"/>
  <c r="N392" i="1"/>
  <c r="N398" i="1"/>
  <c r="N412" i="1"/>
  <c r="N394" i="1"/>
  <c r="J9" i="4" s="1"/>
  <c r="N393" i="1"/>
  <c r="N408" i="1"/>
  <c r="N404" i="1"/>
  <c r="N406" i="1"/>
  <c r="N411" i="1"/>
  <c r="N410" i="1"/>
  <c r="N403" i="1"/>
  <c r="N390" i="1"/>
  <c r="N396" i="1"/>
  <c r="N407" i="1"/>
  <c r="N391" i="1"/>
  <c r="N401" i="1"/>
  <c r="N399" i="1"/>
  <c r="N400" i="1"/>
  <c r="N409" i="1"/>
  <c r="C77" i="1"/>
  <c r="H54" i="2" s="1"/>
  <c r="C78" i="1"/>
  <c r="H53" i="2" s="1"/>
  <c r="Q13" i="2"/>
  <c r="E280" i="1"/>
  <c r="E310" i="1" s="1"/>
  <c r="AH5" i="4"/>
  <c r="D26" i="1"/>
  <c r="D28" i="1" s="1"/>
  <c r="D29" i="1" s="1"/>
  <c r="D30" i="1" s="1"/>
  <c r="Q20" i="2"/>
  <c r="H34" i="2"/>
  <c r="Q25" i="2"/>
  <c r="D14" i="1"/>
  <c r="Q12" i="2"/>
  <c r="F274" i="1"/>
  <c r="F272" i="1"/>
  <c r="F265" i="1"/>
  <c r="D279" i="1" s="1"/>
  <c r="D309" i="1" s="1"/>
  <c r="Q18" i="2"/>
  <c r="Q10" i="2"/>
  <c r="Q15" i="2"/>
  <c r="Q24" i="2"/>
  <c r="Q8" i="2"/>
  <c r="Q11" i="2"/>
  <c r="Q27" i="2"/>
  <c r="Q17" i="2"/>
  <c r="Q22" i="2"/>
  <c r="Q26" i="2"/>
  <c r="Q19" i="2"/>
  <c r="Q14" i="2"/>
  <c r="Q16" i="2"/>
  <c r="Q29" i="2"/>
  <c r="Q21" i="2"/>
  <c r="Q9" i="2"/>
  <c r="Q30" i="2"/>
  <c r="Q23" i="2"/>
  <c r="Q31" i="2"/>
  <c r="Q28" i="2"/>
  <c r="P188" i="2"/>
  <c r="H161" i="1" s="1"/>
  <c r="AH27" i="4"/>
  <c r="AH18" i="4"/>
  <c r="AH19" i="4"/>
  <c r="AH6" i="4"/>
  <c r="P246" i="2"/>
  <c r="D124" i="1"/>
  <c r="C241" i="1"/>
  <c r="I241" i="1" s="1"/>
  <c r="B243" i="1"/>
  <c r="H242" i="1"/>
  <c r="C282" i="1"/>
  <c r="C312" i="1" s="1"/>
  <c r="R251" i="1" l="1"/>
  <c r="R257" i="1"/>
  <c r="E5" i="3"/>
  <c r="E9" i="3" s="1"/>
  <c r="E10" i="3" s="1"/>
  <c r="D5" i="3"/>
  <c r="G58" i="1"/>
  <c r="G69" i="1"/>
  <c r="G71" i="1"/>
  <c r="G59" i="1"/>
  <c r="G65" i="1"/>
  <c r="G64" i="1"/>
  <c r="S252" i="1" s="1"/>
  <c r="G67" i="1"/>
  <c r="G62" i="1"/>
  <c r="G66" i="1"/>
  <c r="G57" i="1"/>
  <c r="S255" i="1" s="1"/>
  <c r="G60" i="1"/>
  <c r="G61" i="1"/>
  <c r="G63" i="1"/>
  <c r="R254" i="1"/>
  <c r="R244" i="1"/>
  <c r="R243" i="1"/>
  <c r="R249" i="1"/>
  <c r="R242" i="1"/>
  <c r="G70" i="1"/>
  <c r="G56" i="1"/>
  <c r="S256" i="1" s="1"/>
  <c r="D86" i="1"/>
  <c r="G68" i="1"/>
  <c r="D91" i="1" s="1"/>
  <c r="Q244" i="1"/>
  <c r="Q254" i="1"/>
  <c r="R246" i="1"/>
  <c r="R239" i="1"/>
  <c r="R241" i="1"/>
  <c r="R250" i="1"/>
  <c r="R240" i="1"/>
  <c r="G4" i="1"/>
  <c r="C185" i="1"/>
  <c r="H185" i="1" s="1"/>
  <c r="J4" i="4"/>
  <c r="J5" i="4"/>
  <c r="E25" i="1"/>
  <c r="E27" i="1" s="1"/>
  <c r="G118" i="1"/>
  <c r="G115" i="1"/>
  <c r="G113" i="1"/>
  <c r="G111" i="1"/>
  <c r="G114" i="1"/>
  <c r="G117" i="1"/>
  <c r="G112" i="1"/>
  <c r="J238" i="1"/>
  <c r="J239" i="1"/>
  <c r="I15" i="4"/>
  <c r="U15" i="4" s="1"/>
  <c r="I18" i="4"/>
  <c r="AI18" i="4" s="1"/>
  <c r="I17" i="4"/>
  <c r="U17" i="4" s="1"/>
  <c r="I24" i="4"/>
  <c r="U24" i="4" s="1"/>
  <c r="I16" i="4"/>
  <c r="U16" i="4" s="1"/>
  <c r="I22" i="4"/>
  <c r="U22" i="4" s="1"/>
  <c r="I25" i="4"/>
  <c r="U25" i="4" s="1"/>
  <c r="I19" i="4"/>
  <c r="AI19" i="4" s="1"/>
  <c r="I27" i="4"/>
  <c r="AI27" i="4" s="1"/>
  <c r="I20" i="4"/>
  <c r="U20" i="4" s="1"/>
  <c r="I21" i="4"/>
  <c r="U21" i="4" s="1"/>
  <c r="I26" i="4"/>
  <c r="U26" i="4" s="1"/>
  <c r="I23" i="4"/>
  <c r="U23" i="4" s="1"/>
  <c r="I13" i="4"/>
  <c r="U13" i="4" s="1"/>
  <c r="E10" i="1"/>
  <c r="P401" i="1" s="1"/>
  <c r="E13" i="1"/>
  <c r="G273" i="1"/>
  <c r="I14" i="4"/>
  <c r="I11" i="4"/>
  <c r="I12" i="4"/>
  <c r="I31" i="4"/>
  <c r="I10" i="4"/>
  <c r="D457" i="1"/>
  <c r="I5" i="4"/>
  <c r="I8" i="4"/>
  <c r="I4" i="4"/>
  <c r="I7" i="4"/>
  <c r="I6" i="4"/>
  <c r="I9" i="4"/>
  <c r="D281" i="1"/>
  <c r="D311" i="1" s="1"/>
  <c r="D415" i="1"/>
  <c r="D441" i="1"/>
  <c r="D436" i="1"/>
  <c r="D462" i="1"/>
  <c r="D433" i="1"/>
  <c r="D459" i="1"/>
  <c r="D427" i="1"/>
  <c r="D453" i="1"/>
  <c r="D438" i="1"/>
  <c r="D464" i="1"/>
  <c r="D435" i="1"/>
  <c r="D461" i="1"/>
  <c r="D429" i="1"/>
  <c r="D455" i="1"/>
  <c r="D437" i="1"/>
  <c r="D463" i="1"/>
  <c r="D417" i="1"/>
  <c r="D443" i="1"/>
  <c r="D430" i="1"/>
  <c r="D456" i="1"/>
  <c r="D421" i="1"/>
  <c r="D447" i="1"/>
  <c r="D434" i="1"/>
  <c r="D460" i="1"/>
  <c r="D420" i="1"/>
  <c r="D446" i="1"/>
  <c r="D423" i="1"/>
  <c r="D449" i="1"/>
  <c r="D426" i="1"/>
  <c r="D452" i="1"/>
  <c r="D416" i="1"/>
  <c r="D442" i="1"/>
  <c r="D419" i="1"/>
  <c r="D445" i="1"/>
  <c r="D428" i="1"/>
  <c r="D454" i="1"/>
  <c r="D418" i="1"/>
  <c r="D444" i="1"/>
  <c r="D422" i="1"/>
  <c r="D448" i="1"/>
  <c r="D425" i="1"/>
  <c r="D451" i="1"/>
  <c r="D424" i="1"/>
  <c r="D450" i="1"/>
  <c r="D432" i="1"/>
  <c r="D458" i="1"/>
  <c r="Q58" i="2"/>
  <c r="AB26" i="4" s="1"/>
  <c r="Q57" i="2"/>
  <c r="AB25" i="4" s="1"/>
  <c r="Q59" i="2"/>
  <c r="AB27" i="4" s="1"/>
  <c r="Q56" i="2"/>
  <c r="AB24" i="4" s="1"/>
  <c r="Q50" i="2"/>
  <c r="AB18" i="4" s="1"/>
  <c r="Q48" i="2"/>
  <c r="AB16" i="4" s="1"/>
  <c r="Q55" i="2"/>
  <c r="AB23" i="4" s="1"/>
  <c r="Q49" i="2"/>
  <c r="AB17" i="4" s="1"/>
  <c r="F280" i="1"/>
  <c r="F310" i="1" s="1"/>
  <c r="E279" i="1"/>
  <c r="E309" i="1" s="1"/>
  <c r="L232" i="1"/>
  <c r="Q198" i="2" s="1"/>
  <c r="Q187" i="2"/>
  <c r="L223" i="1"/>
  <c r="Q189" i="2" s="1"/>
  <c r="L229" i="1"/>
  <c r="Q195" i="2" s="1"/>
  <c r="L228" i="1"/>
  <c r="Q194" i="2" s="1"/>
  <c r="L226" i="1"/>
  <c r="Q192" i="2" s="1"/>
  <c r="L233" i="1"/>
  <c r="Q199" i="2" s="1"/>
  <c r="L230" i="1"/>
  <c r="Q196" i="2" s="1"/>
  <c r="L224" i="1"/>
  <c r="Q190" i="2" s="1"/>
  <c r="L234" i="1"/>
  <c r="Q200" i="2" s="1"/>
  <c r="L231" i="1"/>
  <c r="Q197" i="2" s="1"/>
  <c r="L225" i="1"/>
  <c r="Q191" i="2" s="1"/>
  <c r="L227" i="1"/>
  <c r="Q193" i="2" s="1"/>
  <c r="F266" i="1"/>
  <c r="Q32" i="2"/>
  <c r="B313" i="1"/>
  <c r="D282" i="1"/>
  <c r="D312" i="1" s="1"/>
  <c r="AH7" i="4"/>
  <c r="C242" i="1"/>
  <c r="C243" i="1" s="1"/>
  <c r="H243" i="1"/>
  <c r="B244" i="1"/>
  <c r="J240" i="1"/>
  <c r="D241" i="1"/>
  <c r="E6" i="3" l="1"/>
  <c r="S251" i="1"/>
  <c r="S257" i="1"/>
  <c r="S244" i="1"/>
  <c r="S254" i="1"/>
  <c r="S239" i="1"/>
  <c r="S246" i="1"/>
  <c r="S250" i="1"/>
  <c r="S240" i="1"/>
  <c r="S241" i="1"/>
  <c r="S242" i="1"/>
  <c r="S243" i="1"/>
  <c r="S249" i="1"/>
  <c r="P411" i="1"/>
  <c r="P410" i="1"/>
  <c r="P392" i="1"/>
  <c r="E26" i="1"/>
  <c r="E28" i="1" s="1"/>
  <c r="E29" i="1" s="1"/>
  <c r="P398" i="1"/>
  <c r="P390" i="1"/>
  <c r="P393" i="1"/>
  <c r="P399" i="1"/>
  <c r="F404" i="1"/>
  <c r="P394" i="1"/>
  <c r="P404" i="1"/>
  <c r="P408" i="1"/>
  <c r="P403" i="1"/>
  <c r="P400" i="1"/>
  <c r="P391" i="1"/>
  <c r="P407" i="1"/>
  <c r="P396" i="1"/>
  <c r="P402" i="1"/>
  <c r="P405" i="1"/>
  <c r="P412" i="1"/>
  <c r="P397" i="1"/>
  <c r="P406" i="1"/>
  <c r="P409" i="1"/>
  <c r="P389" i="1"/>
  <c r="P395" i="1"/>
  <c r="F393" i="1"/>
  <c r="F390" i="1"/>
  <c r="L5" i="4" s="1"/>
  <c r="F410" i="1"/>
  <c r="F411" i="1"/>
  <c r="F397" i="1"/>
  <c r="F389" i="1"/>
  <c r="F403" i="1"/>
  <c r="F399" i="1"/>
  <c r="F395" i="1"/>
  <c r="F406" i="1"/>
  <c r="F408" i="1"/>
  <c r="F407" i="1"/>
  <c r="F401" i="1"/>
  <c r="F400" i="1"/>
  <c r="F391" i="1"/>
  <c r="F405" i="1"/>
  <c r="F398" i="1"/>
  <c r="F392" i="1"/>
  <c r="F412" i="1"/>
  <c r="F402" i="1"/>
  <c r="F394" i="1"/>
  <c r="F396" i="1"/>
  <c r="F409" i="1"/>
  <c r="R29" i="2"/>
  <c r="R57" i="2" s="1"/>
  <c r="AC25" i="4" s="1"/>
  <c r="R31" i="2"/>
  <c r="R59" i="2" s="1"/>
  <c r="AC27" i="4" s="1"/>
  <c r="R9" i="2"/>
  <c r="R13" i="2"/>
  <c r="R26" i="2"/>
  <c r="R23" i="2"/>
  <c r="R27" i="2"/>
  <c r="R55" i="2" s="1"/>
  <c r="AC23" i="4" s="1"/>
  <c r="R24" i="2"/>
  <c r="E14" i="1"/>
  <c r="G266" i="1" s="1"/>
  <c r="U18" i="4"/>
  <c r="R12" i="2"/>
  <c r="G274" i="1"/>
  <c r="R25" i="2"/>
  <c r="R11" i="2"/>
  <c r="R16" i="2"/>
  <c r="J34" i="2"/>
  <c r="G272" i="1"/>
  <c r="R15" i="2"/>
  <c r="R28" i="2"/>
  <c r="R56" i="2" s="1"/>
  <c r="AC24" i="4" s="1"/>
  <c r="R19" i="2"/>
  <c r="R21" i="2"/>
  <c r="R49" i="2" s="1"/>
  <c r="R18" i="2"/>
  <c r="R10" i="2"/>
  <c r="R8" i="2"/>
  <c r="R30" i="2"/>
  <c r="R58" i="2" s="1"/>
  <c r="AC26" i="4" s="1"/>
  <c r="R20" i="2"/>
  <c r="R14" i="2"/>
  <c r="R22" i="2"/>
  <c r="R50" i="2" s="1"/>
  <c r="AC18" i="4" s="1"/>
  <c r="R17" i="2"/>
  <c r="U19" i="4"/>
  <c r="U27" i="4"/>
  <c r="G265" i="1"/>
  <c r="F279" i="1" s="1"/>
  <c r="F309" i="1" s="1"/>
  <c r="U11" i="4"/>
  <c r="U12" i="4"/>
  <c r="U14" i="4"/>
  <c r="U9" i="4"/>
  <c r="U6" i="4"/>
  <c r="U7" i="4"/>
  <c r="U10" i="4"/>
  <c r="U5" i="4"/>
  <c r="U8" i="4"/>
  <c r="U4" i="4"/>
  <c r="K31" i="4"/>
  <c r="U31" i="4"/>
  <c r="E281" i="1"/>
  <c r="E311" i="1" s="1"/>
  <c r="AI5" i="4"/>
  <c r="Q245" i="2"/>
  <c r="G280" i="1"/>
  <c r="G310" i="1" s="1"/>
  <c r="AI6" i="4"/>
  <c r="E282" i="1"/>
  <c r="E312" i="1" s="1"/>
  <c r="AI7" i="4" s="1"/>
  <c r="B314" i="1"/>
  <c r="C283" i="1"/>
  <c r="C313" i="1" s="1"/>
  <c r="F281" i="1"/>
  <c r="F311" i="1" s="1"/>
  <c r="Q246" i="2"/>
  <c r="I242" i="1"/>
  <c r="Q188" i="2"/>
  <c r="H244" i="1"/>
  <c r="B245" i="1"/>
  <c r="J241" i="1"/>
  <c r="D242" i="1"/>
  <c r="I243" i="1"/>
  <c r="C244" i="1"/>
  <c r="AC17" i="4" l="1"/>
  <c r="R48" i="2"/>
  <c r="R187" i="2"/>
  <c r="L4" i="4"/>
  <c r="L9" i="4"/>
  <c r="G279" i="1"/>
  <c r="G309" i="1" s="1"/>
  <c r="R32" i="2"/>
  <c r="R245" i="2"/>
  <c r="E30" i="1"/>
  <c r="D284" i="1"/>
  <c r="D314" i="1" s="1"/>
  <c r="F282" i="1"/>
  <c r="F312" i="1" s="1"/>
  <c r="D283" i="1"/>
  <c r="D313" i="1" s="1"/>
  <c r="AH8" i="4"/>
  <c r="C284" i="1"/>
  <c r="C314" i="1" s="1"/>
  <c r="B315" i="1"/>
  <c r="G281" i="1"/>
  <c r="G311" i="1" s="1"/>
  <c r="B246" i="1"/>
  <c r="H245" i="1"/>
  <c r="B286" i="1" s="1"/>
  <c r="C245" i="1"/>
  <c r="I244" i="1"/>
  <c r="D243" i="1"/>
  <c r="J242" i="1"/>
  <c r="C94" i="1" l="1"/>
  <c r="B94" i="1"/>
  <c r="AC16" i="4"/>
  <c r="B93" i="1"/>
  <c r="M31" i="4"/>
  <c r="H281" i="1"/>
  <c r="H311" i="1" s="1"/>
  <c r="J280" i="1"/>
  <c r="J310" i="1" s="1"/>
  <c r="G282" i="1"/>
  <c r="G312" i="1" s="1"/>
  <c r="E283" i="1"/>
  <c r="E313" i="1" s="1"/>
  <c r="E284" i="1"/>
  <c r="E314" i="1" s="1"/>
  <c r="H282" i="1"/>
  <c r="H312" i="1" s="1"/>
  <c r="F283" i="1"/>
  <c r="F313" i="1" s="1"/>
  <c r="AH9" i="4"/>
  <c r="D285" i="1"/>
  <c r="D315" i="1" s="1"/>
  <c r="C285" i="1"/>
  <c r="C315" i="1" s="1"/>
  <c r="B316" i="1"/>
  <c r="C246" i="1"/>
  <c r="I245" i="1"/>
  <c r="B247" i="1"/>
  <c r="H246" i="1"/>
  <c r="B287" i="1" s="1"/>
  <c r="J243" i="1"/>
  <c r="D244" i="1"/>
  <c r="C93" i="1" l="1"/>
  <c r="W31" i="4"/>
  <c r="S245" i="2"/>
  <c r="B317" i="1"/>
  <c r="AI8" i="4"/>
  <c r="AI9" i="4"/>
  <c r="G283" i="1"/>
  <c r="G313" i="1" s="1"/>
  <c r="H283" i="1"/>
  <c r="H313" i="1" s="1"/>
  <c r="F284" i="1"/>
  <c r="F314" i="1" s="1"/>
  <c r="AH10" i="4"/>
  <c r="E285" i="1"/>
  <c r="E315" i="1" s="1"/>
  <c r="C286" i="1"/>
  <c r="C316" i="1" s="1"/>
  <c r="D286" i="1"/>
  <c r="D316" i="1" s="1"/>
  <c r="C247" i="1"/>
  <c r="I246" i="1"/>
  <c r="J244" i="1"/>
  <c r="D245" i="1"/>
  <c r="H247" i="1"/>
  <c r="B288" i="1" s="1"/>
  <c r="B248" i="1"/>
  <c r="B318" i="1" l="1"/>
  <c r="O31" i="4"/>
  <c r="Q31" i="4" s="1"/>
  <c r="D287" i="1"/>
  <c r="D317" i="1" s="1"/>
  <c r="C287" i="1"/>
  <c r="C317" i="1" s="1"/>
  <c r="H284" i="1"/>
  <c r="H314" i="1" s="1"/>
  <c r="G284" i="1"/>
  <c r="G314" i="1" s="1"/>
  <c r="J282" i="1"/>
  <c r="J312" i="1" s="1"/>
  <c r="AI10" i="4"/>
  <c r="F285" i="1"/>
  <c r="F315" i="1" s="1"/>
  <c r="E286" i="1"/>
  <c r="E316" i="1" s="1"/>
  <c r="J245" i="1"/>
  <c r="D246" i="1"/>
  <c r="H248" i="1"/>
  <c r="B289" i="1" s="1"/>
  <c r="B249" i="1"/>
  <c r="C248" i="1"/>
  <c r="I247" i="1"/>
  <c r="B319" i="1" l="1"/>
  <c r="C288" i="1"/>
  <c r="C318" i="1" s="1"/>
  <c r="D288" i="1"/>
  <c r="D318" i="1" s="1"/>
  <c r="X31" i="4"/>
  <c r="E287" i="1"/>
  <c r="E317" i="1" s="1"/>
  <c r="J283" i="1"/>
  <c r="J313" i="1" s="1"/>
  <c r="H285" i="1"/>
  <c r="H315" i="1" s="1"/>
  <c r="G285" i="1"/>
  <c r="G315" i="1" s="1"/>
  <c r="F286" i="1"/>
  <c r="F316" i="1" s="1"/>
  <c r="J246" i="1"/>
  <c r="D247" i="1"/>
  <c r="B250" i="1"/>
  <c r="H249" i="1"/>
  <c r="I248" i="1"/>
  <c r="C249" i="1"/>
  <c r="E288" i="1" l="1"/>
  <c r="E318" i="1" s="1"/>
  <c r="D289" i="1"/>
  <c r="D319" i="1" s="1"/>
  <c r="C289" i="1"/>
  <c r="C319" i="1" s="1"/>
  <c r="T245" i="2"/>
  <c r="U227" i="2"/>
  <c r="U244" i="2" s="1"/>
  <c r="F287" i="1"/>
  <c r="F317" i="1" s="1"/>
  <c r="B320" i="1"/>
  <c r="J284" i="1"/>
  <c r="J314" i="1" s="1"/>
  <c r="G286" i="1"/>
  <c r="G316" i="1" s="1"/>
  <c r="I249" i="1"/>
  <c r="C250" i="1"/>
  <c r="J247" i="1"/>
  <c r="D248" i="1"/>
  <c r="B251" i="1"/>
  <c r="H250" i="1"/>
  <c r="F288" i="1" l="1"/>
  <c r="F318" i="1" s="1"/>
  <c r="E289" i="1"/>
  <c r="E319" i="1" s="1"/>
  <c r="U245" i="2"/>
  <c r="G287" i="1"/>
  <c r="G317" i="1" s="1"/>
  <c r="D290" i="1"/>
  <c r="D320" i="1" s="1"/>
  <c r="B321" i="1"/>
  <c r="C290" i="1"/>
  <c r="C320" i="1" s="1"/>
  <c r="J285" i="1"/>
  <c r="J315" i="1" s="1"/>
  <c r="D249" i="1"/>
  <c r="J248" i="1"/>
  <c r="I250" i="1"/>
  <c r="C251" i="1"/>
  <c r="H251" i="1"/>
  <c r="B252" i="1"/>
  <c r="G38" i="4" l="1"/>
  <c r="G288" i="1"/>
  <c r="G318" i="1" s="1"/>
  <c r="F289" i="1"/>
  <c r="F319" i="1" s="1"/>
  <c r="E290" i="1"/>
  <c r="E320" i="1" s="1"/>
  <c r="B322" i="1"/>
  <c r="AH15" i="4"/>
  <c r="D291" i="1"/>
  <c r="D321" i="1" s="1"/>
  <c r="C291" i="1"/>
  <c r="C321" i="1" s="1"/>
  <c r="J249" i="1"/>
  <c r="D250" i="1"/>
  <c r="H252" i="1"/>
  <c r="C293" i="1" s="1"/>
  <c r="C323" i="1" s="1"/>
  <c r="B253" i="1"/>
  <c r="C252" i="1"/>
  <c r="I251" i="1"/>
  <c r="I38" i="4" l="1"/>
  <c r="G289" i="1"/>
  <c r="G319" i="1" s="1"/>
  <c r="E291" i="1"/>
  <c r="E321" i="1" s="1"/>
  <c r="C292" i="1"/>
  <c r="C322" i="1" s="1"/>
  <c r="AI15" i="4"/>
  <c r="AH16" i="4"/>
  <c r="F290" i="1"/>
  <c r="F320" i="1" s="1"/>
  <c r="D292" i="1"/>
  <c r="D322" i="1" s="1"/>
  <c r="H253" i="1"/>
  <c r="C294" i="1" s="1"/>
  <c r="C324" i="1" s="1"/>
  <c r="B254" i="1"/>
  <c r="I252" i="1"/>
  <c r="E293" i="1" s="1"/>
  <c r="E323" i="1" s="1"/>
  <c r="C253" i="1"/>
  <c r="D251" i="1"/>
  <c r="J250" i="1"/>
  <c r="K38" i="4" l="1"/>
  <c r="E292" i="1"/>
  <c r="E322" i="1" s="1"/>
  <c r="AI17" i="4" s="1"/>
  <c r="G290" i="1"/>
  <c r="G320" i="1" s="1"/>
  <c r="AH17" i="4"/>
  <c r="AI16" i="4"/>
  <c r="H290" i="1"/>
  <c r="H320" i="1" s="1"/>
  <c r="F291" i="1"/>
  <c r="F321" i="1" s="1"/>
  <c r="C254" i="1"/>
  <c r="I253" i="1"/>
  <c r="E294" i="1" s="1"/>
  <c r="E324" i="1" s="1"/>
  <c r="B255" i="1"/>
  <c r="H254" i="1"/>
  <c r="D252" i="1"/>
  <c r="J251" i="1"/>
  <c r="B325" i="1" l="1"/>
  <c r="G291" i="1"/>
  <c r="G321" i="1" s="1"/>
  <c r="F292" i="1"/>
  <c r="F322" i="1" s="1"/>
  <c r="H291" i="1"/>
  <c r="H321" i="1" s="1"/>
  <c r="B256" i="1"/>
  <c r="H255" i="1"/>
  <c r="D253" i="1"/>
  <c r="J252" i="1"/>
  <c r="G293" i="1" s="1"/>
  <c r="G323" i="1" s="1"/>
  <c r="C255" i="1"/>
  <c r="I254" i="1"/>
  <c r="M38" i="4" l="1"/>
  <c r="D295" i="1"/>
  <c r="D325" i="1" s="1"/>
  <c r="B326" i="1"/>
  <c r="C295" i="1"/>
  <c r="C325" i="1" s="1"/>
  <c r="G292" i="1"/>
  <c r="G322" i="1" s="1"/>
  <c r="H292" i="1"/>
  <c r="H322" i="1" s="1"/>
  <c r="J290" i="1"/>
  <c r="J320" i="1" s="1"/>
  <c r="J253" i="1"/>
  <c r="G294" i="1" s="1"/>
  <c r="G324" i="1" s="1"/>
  <c r="D254" i="1"/>
  <c r="C256" i="1"/>
  <c r="I255" i="1"/>
  <c r="H256" i="1"/>
  <c r="B257" i="1"/>
  <c r="C296" i="1" l="1"/>
  <c r="C326" i="1" s="1"/>
  <c r="E295" i="1"/>
  <c r="E325" i="1" s="1"/>
  <c r="D296" i="1"/>
  <c r="D326" i="1" s="1"/>
  <c r="B327" i="1"/>
  <c r="AH20" i="4"/>
  <c r="J291" i="1"/>
  <c r="J321" i="1" s="1"/>
  <c r="I256" i="1"/>
  <c r="C257" i="1"/>
  <c r="B258" i="1"/>
  <c r="H257" i="1"/>
  <c r="D255" i="1"/>
  <c r="J254" i="1"/>
  <c r="O38" i="4" l="1"/>
  <c r="Q38" i="4" s="1"/>
  <c r="AH21" i="4"/>
  <c r="AI20" i="4"/>
  <c r="D297" i="1"/>
  <c r="D327" i="1" s="1"/>
  <c r="F295" i="1"/>
  <c r="F325" i="1" s="1"/>
  <c r="C297" i="1"/>
  <c r="C327" i="1" s="1"/>
  <c r="E296" i="1"/>
  <c r="E326" i="1" s="1"/>
  <c r="J292" i="1"/>
  <c r="J322" i="1" s="1"/>
  <c r="B328" i="1"/>
  <c r="I257" i="1"/>
  <c r="C258" i="1"/>
  <c r="J255" i="1"/>
  <c r="D256" i="1"/>
  <c r="B259" i="1"/>
  <c r="H258" i="1"/>
  <c r="G295" i="1" l="1"/>
  <c r="G325" i="1" s="1"/>
  <c r="AI21" i="4"/>
  <c r="F296" i="1"/>
  <c r="F326" i="1" s="1"/>
  <c r="H295" i="1"/>
  <c r="H325" i="1" s="1"/>
  <c r="AH22" i="4"/>
  <c r="B380" i="1"/>
  <c r="P54" i="2" s="1"/>
  <c r="AA22" i="4" s="1"/>
  <c r="E297" i="1"/>
  <c r="E327" i="1" s="1"/>
  <c r="D298" i="1"/>
  <c r="D328" i="1" s="1"/>
  <c r="B329" i="1"/>
  <c r="C298" i="1"/>
  <c r="C328" i="1" s="1"/>
  <c r="C259" i="1"/>
  <c r="I258" i="1"/>
  <c r="H259" i="1"/>
  <c r="B260" i="1"/>
  <c r="J256" i="1"/>
  <c r="D257" i="1"/>
  <c r="G296" i="1" l="1"/>
  <c r="G326" i="1" s="1"/>
  <c r="H296" i="1"/>
  <c r="H326" i="1" s="1"/>
  <c r="AI22" i="4"/>
  <c r="F297" i="1"/>
  <c r="F327" i="1" s="1"/>
  <c r="B330" i="1"/>
  <c r="C299" i="1"/>
  <c r="C329" i="1" s="1"/>
  <c r="D299" i="1"/>
  <c r="D329" i="1" s="1"/>
  <c r="AH23" i="4"/>
  <c r="B381" i="1"/>
  <c r="E298" i="1"/>
  <c r="E328" i="1" s="1"/>
  <c r="D258" i="1"/>
  <c r="J257" i="1"/>
  <c r="H260" i="1"/>
  <c r="C301" i="1" s="1"/>
  <c r="C331" i="1" s="1"/>
  <c r="AH26" i="4" s="1"/>
  <c r="B261" i="1"/>
  <c r="H261" i="1" s="1"/>
  <c r="C302" i="1" s="1"/>
  <c r="C332" i="1" s="1"/>
  <c r="I259" i="1"/>
  <c r="C260" i="1"/>
  <c r="H297" i="1" l="1"/>
  <c r="H327" i="1" s="1"/>
  <c r="J295" i="1"/>
  <c r="J325" i="1" s="1"/>
  <c r="G297" i="1"/>
  <c r="G327" i="1" s="1"/>
  <c r="D300" i="1"/>
  <c r="D330" i="1" s="1"/>
  <c r="AH24" i="4"/>
  <c r="AI23" i="4"/>
  <c r="C300" i="1"/>
  <c r="C330" i="1" s="1"/>
  <c r="F298" i="1"/>
  <c r="F328" i="1" s="1"/>
  <c r="E299" i="1"/>
  <c r="E329" i="1" s="1"/>
  <c r="B382" i="1"/>
  <c r="D259" i="1"/>
  <c r="J258" i="1"/>
  <c r="C261" i="1"/>
  <c r="I261" i="1" s="1"/>
  <c r="E302" i="1" s="1"/>
  <c r="E332" i="1" s="1"/>
  <c r="I260" i="1"/>
  <c r="E301" i="1" s="1"/>
  <c r="E331" i="1" s="1"/>
  <c r="AI26" i="4" s="1"/>
  <c r="B385" i="1"/>
  <c r="B384" i="1"/>
  <c r="J296" i="1" l="1"/>
  <c r="J326" i="1" s="1"/>
  <c r="F299" i="1"/>
  <c r="F329" i="1" s="1"/>
  <c r="AH25" i="4"/>
  <c r="B383" i="1"/>
  <c r="AI24" i="4"/>
  <c r="H298" i="1"/>
  <c r="H328" i="1" s="1"/>
  <c r="G298" i="1"/>
  <c r="G328" i="1" s="1"/>
  <c r="E300" i="1"/>
  <c r="E330" i="1" s="1"/>
  <c r="D260" i="1"/>
  <c r="J259" i="1"/>
  <c r="J297" i="1" l="1"/>
  <c r="J327" i="1" s="1"/>
  <c r="F300" i="1"/>
  <c r="F330" i="1" s="1"/>
  <c r="G299" i="1"/>
  <c r="G329" i="1" s="1"/>
  <c r="H299" i="1"/>
  <c r="H329" i="1" s="1"/>
  <c r="AI25" i="4"/>
  <c r="D261" i="1"/>
  <c r="J261" i="1" s="1"/>
  <c r="G302" i="1" s="1"/>
  <c r="G332" i="1" s="1"/>
  <c r="J260" i="1"/>
  <c r="G301" i="1" s="1"/>
  <c r="G331" i="1" s="1"/>
  <c r="J298" i="1" l="1"/>
  <c r="J328" i="1" s="1"/>
  <c r="G300" i="1"/>
  <c r="G330" i="1" s="1"/>
  <c r="H300" i="1"/>
  <c r="H330" i="1" s="1"/>
  <c r="J299" i="1" l="1"/>
  <c r="J329" i="1" s="1"/>
  <c r="B7" i="3" l="1"/>
  <c r="B8" i="3" s="1"/>
  <c r="J300" i="1"/>
  <c r="J330" i="1" s="1"/>
  <c r="D7" i="3" l="1"/>
  <c r="D8" i="3" s="1"/>
  <c r="R54" i="2"/>
  <c r="AC22" i="4" s="1"/>
  <c r="R53" i="2"/>
  <c r="AC21" i="4" s="1"/>
  <c r="R52" i="2"/>
  <c r="AC20" i="4" s="1"/>
  <c r="J281" i="1"/>
  <c r="J311" i="1" s="1"/>
  <c r="V31" i="4"/>
  <c r="Y31" i="4" s="1"/>
  <c r="H280" i="1"/>
  <c r="H310" i="1" s="1"/>
  <c r="K26" i="4"/>
  <c r="AJ26" i="4" s="1"/>
  <c r="K23" i="4"/>
  <c r="AJ23" i="4" s="1"/>
  <c r="K24" i="4"/>
  <c r="AJ24" i="4" s="1"/>
  <c r="K22" i="4"/>
  <c r="V22" i="4" s="1"/>
  <c r="K16" i="4"/>
  <c r="Q42" i="2"/>
  <c r="AB10" i="4" s="1"/>
  <c r="K20" i="4"/>
  <c r="K25" i="4"/>
  <c r="K17" i="4"/>
  <c r="K21" i="4"/>
  <c r="Q41" i="2"/>
  <c r="Q40" i="2"/>
  <c r="AB8" i="4" s="1"/>
  <c r="Q39" i="2"/>
  <c r="F19" i="1"/>
  <c r="F425" i="1"/>
  <c r="F451" i="1"/>
  <c r="F421" i="1"/>
  <c r="F447" i="1"/>
  <c r="F455" i="1"/>
  <c r="F429" i="1"/>
  <c r="F457" i="1"/>
  <c r="F431" i="1"/>
  <c r="F444" i="1"/>
  <c r="F418" i="1"/>
  <c r="F420" i="1"/>
  <c r="F446" i="1"/>
  <c r="F454" i="1"/>
  <c r="F428" i="1"/>
  <c r="F464" i="1"/>
  <c r="F438" i="1"/>
  <c r="F442" i="1"/>
  <c r="F416" i="1"/>
  <c r="F441" i="1"/>
  <c r="F415" i="1"/>
  <c r="F462" i="1"/>
  <c r="F436" i="1"/>
  <c r="K4" i="4"/>
  <c r="K6" i="4"/>
  <c r="AJ6" i="4" s="1"/>
  <c r="K18" i="4"/>
  <c r="D77" i="1"/>
  <c r="J54" i="2" s="1"/>
  <c r="K19" i="4"/>
  <c r="D94" i="1"/>
  <c r="F459" i="1"/>
  <c r="F433" i="1"/>
  <c r="F437" i="1"/>
  <c r="F463" i="1"/>
  <c r="F430" i="1"/>
  <c r="F456" i="1"/>
  <c r="F452" i="1"/>
  <c r="F426" i="1"/>
  <c r="F450" i="1"/>
  <c r="F424" i="1"/>
  <c r="K8" i="4"/>
  <c r="V8" i="4" s="1"/>
  <c r="H267" i="1"/>
  <c r="H269" i="1"/>
  <c r="S6" i="2"/>
  <c r="K12" i="4"/>
  <c r="T6" i="2"/>
  <c r="I269" i="1"/>
  <c r="I267" i="1"/>
  <c r="K5" i="4"/>
  <c r="K9" i="4"/>
  <c r="D78" i="1"/>
  <c r="J53" i="2" s="1"/>
  <c r="F122" i="1"/>
  <c r="K10" i="4"/>
  <c r="K13" i="4"/>
  <c r="V13" i="4" s="1"/>
  <c r="K15" i="4"/>
  <c r="V15" i="4" s="1"/>
  <c r="F432" i="1"/>
  <c r="F458" i="1"/>
  <c r="F443" i="1"/>
  <c r="F417" i="1"/>
  <c r="F448" i="1"/>
  <c r="F422" i="1"/>
  <c r="F427" i="1"/>
  <c r="F453" i="1"/>
  <c r="G122" i="1"/>
  <c r="K27" i="4"/>
  <c r="K7" i="4"/>
  <c r="V7" i="4" s="1"/>
  <c r="F445" i="1"/>
  <c r="F419" i="1"/>
  <c r="F423" i="1"/>
  <c r="F449" i="1"/>
  <c r="Q15" i="1"/>
  <c r="K14" i="4"/>
  <c r="V14" i="4" s="1"/>
  <c r="F435" i="1"/>
  <c r="F461" i="1"/>
  <c r="P15" i="1"/>
  <c r="F434" i="1"/>
  <c r="F460" i="1"/>
  <c r="D93" i="1"/>
  <c r="G19" i="1"/>
  <c r="K11" i="4"/>
  <c r="F4" i="1"/>
  <c r="H230" i="1" l="1"/>
  <c r="M230" i="1" s="1"/>
  <c r="R196" i="2" s="1"/>
  <c r="G5" i="3"/>
  <c r="G6" i="3" s="1"/>
  <c r="V9" i="4"/>
  <c r="F7" i="3"/>
  <c r="R40" i="2"/>
  <c r="R41" i="2"/>
  <c r="AJ9" i="4"/>
  <c r="V4" i="4"/>
  <c r="V23" i="4"/>
  <c r="R39" i="2"/>
  <c r="V6" i="4"/>
  <c r="V26" i="4"/>
  <c r="AJ7" i="4"/>
  <c r="AJ22" i="4"/>
  <c r="V12" i="4"/>
  <c r="H227" i="1"/>
  <c r="M227" i="1" s="1"/>
  <c r="R193" i="2" s="1"/>
  <c r="AJ15" i="4"/>
  <c r="J118" i="1"/>
  <c r="J115" i="1"/>
  <c r="J113" i="1"/>
  <c r="J111" i="1"/>
  <c r="J117" i="1"/>
  <c r="J114" i="1"/>
  <c r="J112" i="1"/>
  <c r="G8" i="1"/>
  <c r="G6" i="1" s="1"/>
  <c r="I270" i="1"/>
  <c r="I268" i="1"/>
  <c r="G5" i="1"/>
  <c r="G11" i="1"/>
  <c r="G12" i="1" s="1"/>
  <c r="V27" i="4"/>
  <c r="AJ27" i="4"/>
  <c r="V10" i="4"/>
  <c r="AJ10" i="4"/>
  <c r="AJ5" i="4"/>
  <c r="V5" i="4"/>
  <c r="AJ19" i="4"/>
  <c r="V19" i="4"/>
  <c r="AJ18" i="4"/>
  <c r="V18" i="4"/>
  <c r="H117" i="1"/>
  <c r="H114" i="1"/>
  <c r="H112" i="1"/>
  <c r="H118" i="1"/>
  <c r="H115" i="1"/>
  <c r="H113" i="1"/>
  <c r="H111" i="1"/>
  <c r="H232" i="1"/>
  <c r="M232" i="1" s="1"/>
  <c r="R198" i="2" s="1"/>
  <c r="H226" i="1"/>
  <c r="M226" i="1" s="1"/>
  <c r="R192" i="2" s="1"/>
  <c r="H231" i="1"/>
  <c r="M231" i="1" s="1"/>
  <c r="R197" i="2" s="1"/>
  <c r="H234" i="1"/>
  <c r="M234" i="1" s="1"/>
  <c r="R200" i="2" s="1"/>
  <c r="H268" i="1"/>
  <c r="F11" i="1"/>
  <c r="F12" i="1" s="1"/>
  <c r="H270" i="1"/>
  <c r="F5" i="1"/>
  <c r="H233" i="1"/>
  <c r="M233" i="1" s="1"/>
  <c r="R199" i="2" s="1"/>
  <c r="F8" i="1"/>
  <c r="F6" i="1" s="1"/>
  <c r="H225" i="1"/>
  <c r="M225" i="1" s="1"/>
  <c r="R191" i="2" s="1"/>
  <c r="H228" i="1"/>
  <c r="M228" i="1" s="1"/>
  <c r="R194" i="2" s="1"/>
  <c r="H224" i="1"/>
  <c r="M224" i="1" s="1"/>
  <c r="R190" i="2" s="1"/>
  <c r="H223" i="1"/>
  <c r="M223" i="1" s="1"/>
  <c r="R189" i="2" s="1"/>
  <c r="H229" i="1"/>
  <c r="M229" i="1" s="1"/>
  <c r="R195" i="2" s="1"/>
  <c r="V11" i="4"/>
  <c r="R42" i="2"/>
  <c r="F6" i="3"/>
  <c r="F5" i="3"/>
  <c r="F124" i="1"/>
  <c r="F8" i="3"/>
  <c r="AJ8" i="4"/>
  <c r="V21" i="4"/>
  <c r="AJ21" i="4"/>
  <c r="AJ20" i="4"/>
  <c r="V20" i="4"/>
  <c r="AB9" i="4"/>
  <c r="AB7" i="4"/>
  <c r="V25" i="4"/>
  <c r="AJ25" i="4"/>
  <c r="V17" i="4"/>
  <c r="AJ17" i="4"/>
  <c r="AJ16" i="4"/>
  <c r="V16" i="4"/>
  <c r="V24" i="4"/>
  <c r="J65" i="1" l="1"/>
  <c r="J62" i="1"/>
  <c r="J67" i="1"/>
  <c r="J71" i="1"/>
  <c r="J58" i="1"/>
  <c r="J63" i="1"/>
  <c r="J68" i="1"/>
  <c r="J61" i="1"/>
  <c r="J59" i="1"/>
  <c r="J64" i="1"/>
  <c r="V252" i="1" s="1"/>
  <c r="J69" i="1"/>
  <c r="J56" i="1"/>
  <c r="V256" i="1" s="1"/>
  <c r="J60" i="1"/>
  <c r="J66" i="1"/>
  <c r="J70" i="1"/>
  <c r="J57" i="1"/>
  <c r="V255" i="1" s="1"/>
  <c r="H63" i="1"/>
  <c r="T257" i="1" s="1"/>
  <c r="H68" i="1"/>
  <c r="H61" i="1"/>
  <c r="H59" i="1"/>
  <c r="H65" i="1"/>
  <c r="H64" i="1"/>
  <c r="H69" i="1"/>
  <c r="H56" i="1"/>
  <c r="T256" i="1" s="1"/>
  <c r="H60" i="1"/>
  <c r="H66" i="1"/>
  <c r="H70" i="1"/>
  <c r="H57" i="1"/>
  <c r="T255" i="1" s="1"/>
  <c r="H62" i="1"/>
  <c r="H67" i="1"/>
  <c r="H71" i="1"/>
  <c r="H58" i="1"/>
  <c r="I230" i="1"/>
  <c r="J230" i="1" s="1"/>
  <c r="H122" i="1"/>
  <c r="J122" i="1"/>
  <c r="D81" i="1"/>
  <c r="C81" i="1"/>
  <c r="B81" i="1"/>
  <c r="B85" i="1"/>
  <c r="G50" i="2" s="1"/>
  <c r="AC8" i="4"/>
  <c r="AC7" i="4"/>
  <c r="AC10" i="4"/>
  <c r="AC9" i="4"/>
  <c r="G9" i="3"/>
  <c r="G10" i="3" s="1"/>
  <c r="P16" i="1"/>
  <c r="N187" i="2" s="1"/>
  <c r="N10" i="4"/>
  <c r="N14" i="4"/>
  <c r="N6" i="4"/>
  <c r="N11" i="4"/>
  <c r="N15" i="4"/>
  <c r="N8" i="4"/>
  <c r="N7" i="4"/>
  <c r="N12" i="4"/>
  <c r="N13" i="4"/>
  <c r="P6" i="4"/>
  <c r="P11" i="4"/>
  <c r="P15" i="4"/>
  <c r="P7" i="4"/>
  <c r="P12" i="4"/>
  <c r="P14" i="4"/>
  <c r="P8" i="4"/>
  <c r="P13" i="4"/>
  <c r="P10" i="4"/>
  <c r="I227" i="1"/>
  <c r="J227" i="1" s="1"/>
  <c r="I233" i="1"/>
  <c r="J233" i="1" s="1"/>
  <c r="I225" i="1"/>
  <c r="J225" i="1" s="1"/>
  <c r="F17" i="1"/>
  <c r="F24" i="1"/>
  <c r="F18" i="1"/>
  <c r="R246" i="2"/>
  <c r="R188" i="2"/>
  <c r="T2" i="2"/>
  <c r="G9" i="1"/>
  <c r="G10" i="1" s="1"/>
  <c r="I274" i="1" s="1"/>
  <c r="F238" i="1"/>
  <c r="G7" i="1"/>
  <c r="K65" i="1" s="1"/>
  <c r="I223" i="1"/>
  <c r="J223" i="1" s="1"/>
  <c r="I228" i="1"/>
  <c r="J228" i="1" s="1"/>
  <c r="Q16" i="1"/>
  <c r="S2" i="2"/>
  <c r="F7" i="1"/>
  <c r="I56" i="1" s="1"/>
  <c r="U256" i="1" s="1"/>
  <c r="E238" i="1"/>
  <c r="F9" i="1"/>
  <c r="F10" i="1" s="1"/>
  <c r="I234" i="1"/>
  <c r="J234" i="1" s="1"/>
  <c r="I232" i="1"/>
  <c r="J232" i="1" s="1"/>
  <c r="I229" i="1"/>
  <c r="J229" i="1" s="1"/>
  <c r="G18" i="1"/>
  <c r="G17" i="1"/>
  <c r="G24" i="1"/>
  <c r="I226" i="1"/>
  <c r="J226" i="1" s="1"/>
  <c r="I224" i="1"/>
  <c r="J224" i="1" s="1"/>
  <c r="I231" i="1"/>
  <c r="J231" i="1" s="1"/>
  <c r="V251" i="1" l="1"/>
  <c r="V257" i="1"/>
  <c r="K66" i="1"/>
  <c r="K70" i="1"/>
  <c r="K62" i="1"/>
  <c r="K68" i="1"/>
  <c r="K71" i="1"/>
  <c r="K57" i="1"/>
  <c r="W255" i="1" s="1"/>
  <c r="K61" i="1"/>
  <c r="K64" i="1"/>
  <c r="W252" i="1" s="1"/>
  <c r="K67" i="1"/>
  <c r="K69" i="1"/>
  <c r="K56" i="1"/>
  <c r="W256" i="1" s="1"/>
  <c r="K58" i="1"/>
  <c r="K60" i="1"/>
  <c r="K59" i="1"/>
  <c r="W246" i="1" s="1"/>
  <c r="K63" i="1"/>
  <c r="I66" i="1"/>
  <c r="I68" i="1"/>
  <c r="I61" i="1"/>
  <c r="I62" i="1"/>
  <c r="I71" i="1"/>
  <c r="I64" i="1"/>
  <c r="I69" i="1"/>
  <c r="I67" i="1"/>
  <c r="I70" i="1"/>
  <c r="I65" i="1"/>
  <c r="I63" i="1"/>
  <c r="U257" i="1" s="1"/>
  <c r="I60" i="1"/>
  <c r="T252" i="1"/>
  <c r="T250" i="1"/>
  <c r="T251" i="1"/>
  <c r="T249" i="1"/>
  <c r="T243" i="1"/>
  <c r="T242" i="1"/>
  <c r="U252" i="1"/>
  <c r="T241" i="1"/>
  <c r="T240" i="1"/>
  <c r="I58" i="1"/>
  <c r="U254" i="1" s="1"/>
  <c r="I57" i="1"/>
  <c r="U255" i="1" s="1"/>
  <c r="I59" i="1"/>
  <c r="U239" i="1" s="1"/>
  <c r="T244" i="1"/>
  <c r="T254" i="1"/>
  <c r="T246" i="1"/>
  <c r="T239" i="1"/>
  <c r="V246" i="1"/>
  <c r="V239" i="1"/>
  <c r="V241" i="1"/>
  <c r="V240" i="1"/>
  <c r="V250" i="1"/>
  <c r="V249" i="1"/>
  <c r="V242" i="1"/>
  <c r="V243" i="1"/>
  <c r="V254" i="1"/>
  <c r="V244" i="1"/>
  <c r="F25" i="1"/>
  <c r="F26" i="1" s="1"/>
  <c r="F28" i="1" s="1"/>
  <c r="C85" i="1"/>
  <c r="H50" i="2" s="1"/>
  <c r="D84" i="1"/>
  <c r="D83" i="1"/>
  <c r="J48" i="2" s="1"/>
  <c r="D85" i="1"/>
  <c r="J50" i="2" s="1"/>
  <c r="C83" i="1"/>
  <c r="H48" i="2" s="1"/>
  <c r="D80" i="1"/>
  <c r="D82" i="1"/>
  <c r="B83" i="1"/>
  <c r="G48" i="2" s="1"/>
  <c r="B84" i="1"/>
  <c r="H49" i="2"/>
  <c r="C80" i="1"/>
  <c r="C82" i="1"/>
  <c r="B80" i="1"/>
  <c r="B82" i="1"/>
  <c r="G25" i="1"/>
  <c r="G26" i="1" s="1"/>
  <c r="G28" i="1" s="1"/>
  <c r="J410" i="1"/>
  <c r="J436" i="1" s="1"/>
  <c r="F14" i="1"/>
  <c r="R412" i="1"/>
  <c r="M27" i="4" s="1"/>
  <c r="H395" i="1"/>
  <c r="H404" i="1"/>
  <c r="R409" i="1"/>
  <c r="M24" i="4" s="1"/>
  <c r="R411" i="1"/>
  <c r="M26" i="4" s="1"/>
  <c r="H272" i="1"/>
  <c r="H401" i="1"/>
  <c r="H410" i="1"/>
  <c r="H394" i="1"/>
  <c r="R389" i="1"/>
  <c r="R395" i="1"/>
  <c r="M10" i="4" s="1"/>
  <c r="H412" i="1"/>
  <c r="H396" i="1"/>
  <c r="R408" i="1"/>
  <c r="M23" i="4" s="1"/>
  <c r="R400" i="1"/>
  <c r="M15" i="4" s="1"/>
  <c r="R399" i="1"/>
  <c r="M14" i="4" s="1"/>
  <c r="R403" i="1"/>
  <c r="M18" i="4" s="1"/>
  <c r="H274" i="1"/>
  <c r="H409" i="1"/>
  <c r="H393" i="1"/>
  <c r="H402" i="1"/>
  <c r="R405" i="1"/>
  <c r="M20" i="4" s="1"/>
  <c r="R404" i="1"/>
  <c r="M19" i="4" s="1"/>
  <c r="R402" i="1"/>
  <c r="M17" i="4" s="1"/>
  <c r="H403" i="1"/>
  <c r="H411" i="1"/>
  <c r="K118" i="1"/>
  <c r="K115" i="1"/>
  <c r="K113" i="1"/>
  <c r="K111" i="1"/>
  <c r="K114" i="1"/>
  <c r="K117" i="1"/>
  <c r="K112" i="1"/>
  <c r="T398" i="1"/>
  <c r="O13" i="4" s="1"/>
  <c r="T403" i="1"/>
  <c r="O18" i="4" s="1"/>
  <c r="T402" i="1"/>
  <c r="O17" i="4" s="1"/>
  <c r="T400" i="1"/>
  <c r="O15" i="4" s="1"/>
  <c r="T408" i="1"/>
  <c r="O23" i="4" s="1"/>
  <c r="T399" i="1"/>
  <c r="O14" i="4" s="1"/>
  <c r="J389" i="1"/>
  <c r="J403" i="1"/>
  <c r="J401" i="1"/>
  <c r="J394" i="1"/>
  <c r="J402" i="1"/>
  <c r="N34" i="2"/>
  <c r="T13" i="2"/>
  <c r="T9" i="2"/>
  <c r="T11" i="2"/>
  <c r="T8" i="2"/>
  <c r="T23" i="2"/>
  <c r="T20" i="2"/>
  <c r="T26" i="2"/>
  <c r="T29" i="2"/>
  <c r="T14" i="2"/>
  <c r="T18" i="2"/>
  <c r="T12" i="2"/>
  <c r="T10" i="2"/>
  <c r="T28" i="2"/>
  <c r="T21" i="2"/>
  <c r="T24" i="2"/>
  <c r="T19" i="2"/>
  <c r="T17" i="2"/>
  <c r="T25" i="2"/>
  <c r="T22" i="2"/>
  <c r="T15" i="2"/>
  <c r="T27" i="2"/>
  <c r="T16" i="2"/>
  <c r="T31" i="2"/>
  <c r="I273" i="1"/>
  <c r="T30" i="2"/>
  <c r="G13" i="1"/>
  <c r="I271" i="1"/>
  <c r="T404" i="1"/>
  <c r="O19" i="4" s="1"/>
  <c r="T406" i="1"/>
  <c r="O21" i="4" s="1"/>
  <c r="J407" i="1"/>
  <c r="J393" i="1"/>
  <c r="J400" i="1"/>
  <c r="S17" i="2"/>
  <c r="S26" i="2"/>
  <c r="S13" i="2"/>
  <c r="L34" i="2"/>
  <c r="S24" i="2"/>
  <c r="S19" i="2"/>
  <c r="S25" i="2"/>
  <c r="S28" i="2"/>
  <c r="S12" i="2"/>
  <c r="S8" i="2"/>
  <c r="S11" i="2"/>
  <c r="S29" i="2"/>
  <c r="S9" i="2"/>
  <c r="S14" i="2"/>
  <c r="S23" i="2"/>
  <c r="S27" i="2"/>
  <c r="S22" i="2"/>
  <c r="S31" i="2"/>
  <c r="S20" i="2"/>
  <c r="F13" i="1"/>
  <c r="S30" i="2"/>
  <c r="S18" i="2"/>
  <c r="S10" i="2"/>
  <c r="S21" i="2"/>
  <c r="S16" i="2"/>
  <c r="S15" i="2"/>
  <c r="H271" i="1"/>
  <c r="H273" i="1"/>
  <c r="R398" i="1"/>
  <c r="M13" i="4" s="1"/>
  <c r="R392" i="1"/>
  <c r="M7" i="4" s="1"/>
  <c r="R396" i="1"/>
  <c r="M11" i="4" s="1"/>
  <c r="R390" i="1"/>
  <c r="R394" i="1"/>
  <c r="R407" i="1"/>
  <c r="M22" i="4" s="1"/>
  <c r="H390" i="1"/>
  <c r="H398" i="1"/>
  <c r="H406" i="1"/>
  <c r="H389" i="1"/>
  <c r="H397" i="1"/>
  <c r="H405" i="1"/>
  <c r="O187" i="2"/>
  <c r="T410" i="1"/>
  <c r="O25" i="4" s="1"/>
  <c r="L238" i="1"/>
  <c r="F239" i="1"/>
  <c r="T396" i="1"/>
  <c r="O11" i="4" s="1"/>
  <c r="T389" i="1"/>
  <c r="T409" i="1"/>
  <c r="O24" i="4" s="1"/>
  <c r="T392" i="1"/>
  <c r="O7" i="4" s="1"/>
  <c r="T407" i="1"/>
  <c r="O22" i="4" s="1"/>
  <c r="J397" i="1"/>
  <c r="J411" i="1"/>
  <c r="J409" i="1"/>
  <c r="J396" i="1"/>
  <c r="J404" i="1"/>
  <c r="J412" i="1"/>
  <c r="G14" i="1"/>
  <c r="I272" i="1"/>
  <c r="E239" i="1"/>
  <c r="K238" i="1"/>
  <c r="T394" i="1"/>
  <c r="T397" i="1"/>
  <c r="O12" i="4" s="1"/>
  <c r="J395" i="1"/>
  <c r="J392" i="1"/>
  <c r="J408" i="1"/>
  <c r="I117" i="1"/>
  <c r="I114" i="1"/>
  <c r="I112" i="1"/>
  <c r="I118" i="1"/>
  <c r="I115" i="1"/>
  <c r="I111" i="1"/>
  <c r="I113" i="1"/>
  <c r="R410" i="1"/>
  <c r="M25" i="4" s="1"/>
  <c r="R393" i="1"/>
  <c r="M8" i="4" s="1"/>
  <c r="R391" i="1"/>
  <c r="M6" i="4" s="1"/>
  <c r="R397" i="1"/>
  <c r="M12" i="4" s="1"/>
  <c r="R401" i="1"/>
  <c r="M16" i="4" s="1"/>
  <c r="R406" i="1"/>
  <c r="M21" i="4" s="1"/>
  <c r="H392" i="1"/>
  <c r="H400" i="1"/>
  <c r="H408" i="1"/>
  <c r="H391" i="1"/>
  <c r="H399" i="1"/>
  <c r="H407" i="1"/>
  <c r="T411" i="1"/>
  <c r="O26" i="4" s="1"/>
  <c r="T395" i="1"/>
  <c r="O10" i="4" s="1"/>
  <c r="T393" i="1"/>
  <c r="O8" i="4" s="1"/>
  <c r="T412" i="1"/>
  <c r="O27" i="4" s="1"/>
  <c r="T391" i="1"/>
  <c r="O6" i="4" s="1"/>
  <c r="T401" i="1"/>
  <c r="O16" i="4" s="1"/>
  <c r="T390" i="1"/>
  <c r="T405" i="1"/>
  <c r="O20" i="4" s="1"/>
  <c r="J399" i="1"/>
  <c r="J405" i="1"/>
  <c r="J391" i="1"/>
  <c r="J390" i="1"/>
  <c r="J398" i="1"/>
  <c r="J406" i="1"/>
  <c r="W244" i="1" l="1"/>
  <c r="U249" i="1"/>
  <c r="U240" i="1"/>
  <c r="U251" i="1"/>
  <c r="G49" i="2"/>
  <c r="G55" i="2"/>
  <c r="J49" i="2"/>
  <c r="J55" i="2"/>
  <c r="W251" i="1"/>
  <c r="W257" i="1"/>
  <c r="U243" i="1"/>
  <c r="S41" i="2" s="1"/>
  <c r="U242" i="1"/>
  <c r="S40" i="2" s="1"/>
  <c r="U244" i="1"/>
  <c r="S42" i="2" s="1"/>
  <c r="AD10" i="4" s="1"/>
  <c r="U250" i="1"/>
  <c r="S48" i="2" s="1"/>
  <c r="W254" i="1"/>
  <c r="T52" i="2" s="1"/>
  <c r="AE20" i="4" s="1"/>
  <c r="U241" i="1"/>
  <c r="S39" i="2" s="1"/>
  <c r="W239" i="1"/>
  <c r="T37" i="2" s="1"/>
  <c r="AE5" i="4" s="1"/>
  <c r="U246" i="1"/>
  <c r="F27" i="1"/>
  <c r="F29" i="1" s="1"/>
  <c r="F30" i="1" s="1"/>
  <c r="G37" i="2"/>
  <c r="J37" i="2"/>
  <c r="J44" i="2"/>
  <c r="W250" i="1"/>
  <c r="T48" i="2" s="1"/>
  <c r="AE16" i="4" s="1"/>
  <c r="W240" i="1"/>
  <c r="W241" i="1"/>
  <c r="T39" i="2" s="1"/>
  <c r="AE7" i="4" s="1"/>
  <c r="W242" i="1"/>
  <c r="T40" i="2" s="1"/>
  <c r="AE8" i="4" s="1"/>
  <c r="W243" i="1"/>
  <c r="T41" i="2" s="1"/>
  <c r="AE9" i="4" s="1"/>
  <c r="W249" i="1"/>
  <c r="H44" i="2"/>
  <c r="H37" i="2"/>
  <c r="S187" i="2"/>
  <c r="J47" i="2"/>
  <c r="J41" i="2"/>
  <c r="G47" i="2"/>
  <c r="G41" i="2"/>
  <c r="H47" i="2"/>
  <c r="H41" i="2"/>
  <c r="G27" i="1"/>
  <c r="O229" i="1" s="1"/>
  <c r="T195" i="2" s="1"/>
  <c r="I122" i="1"/>
  <c r="H7" i="3" s="1"/>
  <c r="K122" i="1"/>
  <c r="J5" i="3" s="1"/>
  <c r="H279" i="1"/>
  <c r="H309" i="1" s="1"/>
  <c r="J279" i="1"/>
  <c r="J309" i="1" s="1"/>
  <c r="S37" i="2"/>
  <c r="P4" i="4"/>
  <c r="N9" i="4"/>
  <c r="N4" i="4"/>
  <c r="P5" i="4"/>
  <c r="O9" i="4"/>
  <c r="X9" i="4" s="1"/>
  <c r="P9" i="4"/>
  <c r="N5" i="4"/>
  <c r="O4" i="4"/>
  <c r="M9" i="4"/>
  <c r="W9" i="4" s="1"/>
  <c r="O5" i="4"/>
  <c r="X5" i="4" s="1"/>
  <c r="M5" i="4"/>
  <c r="M4" i="4"/>
  <c r="T187" i="2"/>
  <c r="J462" i="1"/>
  <c r="J416" i="1"/>
  <c r="J442" i="1"/>
  <c r="H433" i="1"/>
  <c r="H459" i="1"/>
  <c r="H452" i="1"/>
  <c r="H426" i="1"/>
  <c r="W13" i="4"/>
  <c r="U24" i="2"/>
  <c r="S52" i="2"/>
  <c r="T53" i="2"/>
  <c r="AE21" i="4" s="1"/>
  <c r="J428" i="1"/>
  <c r="J454" i="1"/>
  <c r="J441" i="1"/>
  <c r="J415" i="1"/>
  <c r="X13" i="4"/>
  <c r="AK17" i="4"/>
  <c r="W17" i="4"/>
  <c r="H419" i="1"/>
  <c r="H445" i="1"/>
  <c r="H462" i="1"/>
  <c r="H436" i="1"/>
  <c r="AK24" i="4"/>
  <c r="W24" i="4"/>
  <c r="J443" i="1"/>
  <c r="J417" i="1"/>
  <c r="AL20" i="4"/>
  <c r="X20" i="4"/>
  <c r="X16" i="4"/>
  <c r="AL16" i="4"/>
  <c r="X10" i="4"/>
  <c r="AL10" i="4"/>
  <c r="H451" i="1"/>
  <c r="H425" i="1"/>
  <c r="H418" i="1"/>
  <c r="H444" i="1"/>
  <c r="W16" i="4"/>
  <c r="AK16" i="4"/>
  <c r="AK25" i="4"/>
  <c r="W25" i="4"/>
  <c r="E83" i="1"/>
  <c r="L48" i="2" s="1"/>
  <c r="E85" i="1"/>
  <c r="L50" i="2" s="1"/>
  <c r="J447" i="1"/>
  <c r="J421" i="1"/>
  <c r="I266" i="1"/>
  <c r="F94" i="1"/>
  <c r="J448" i="1"/>
  <c r="J422" i="1"/>
  <c r="H431" i="1"/>
  <c r="H457" i="1"/>
  <c r="H450" i="1"/>
  <c r="H424" i="1"/>
  <c r="U21" i="2"/>
  <c r="S49" i="2"/>
  <c r="AD17" i="4" s="1"/>
  <c r="E93" i="1"/>
  <c r="H265" i="1"/>
  <c r="U27" i="2"/>
  <c r="S55" i="2"/>
  <c r="AD23" i="4" s="1"/>
  <c r="U29" i="2"/>
  <c r="S57" i="2"/>
  <c r="U28" i="2"/>
  <c r="S56" i="2"/>
  <c r="AD24" i="4" s="1"/>
  <c r="U17" i="2"/>
  <c r="AL21" i="4"/>
  <c r="X21" i="4"/>
  <c r="T58" i="2"/>
  <c r="AE26" i="4" s="1"/>
  <c r="T55" i="2"/>
  <c r="AE23" i="4" s="1"/>
  <c r="T56" i="2"/>
  <c r="AE24" i="4" s="1"/>
  <c r="J420" i="1"/>
  <c r="J446" i="1"/>
  <c r="AL15" i="4"/>
  <c r="X15" i="4"/>
  <c r="F78" i="1"/>
  <c r="N53" i="2" s="1"/>
  <c r="F82" i="1"/>
  <c r="F80" i="1"/>
  <c r="F84" i="1"/>
  <c r="AK19" i="4"/>
  <c r="W19" i="4"/>
  <c r="H435" i="1"/>
  <c r="H461" i="1"/>
  <c r="AK15" i="4"/>
  <c r="W15" i="4"/>
  <c r="AK10" i="4"/>
  <c r="W10" i="4"/>
  <c r="H427" i="1"/>
  <c r="H453" i="1"/>
  <c r="H456" i="1"/>
  <c r="H430" i="1"/>
  <c r="H266" i="1"/>
  <c r="E94" i="1"/>
  <c r="W21" i="4"/>
  <c r="AK21" i="4"/>
  <c r="E78" i="1"/>
  <c r="L53" i="2" s="1"/>
  <c r="E81" i="1"/>
  <c r="J444" i="1"/>
  <c r="J418" i="1"/>
  <c r="J423" i="1"/>
  <c r="J449" i="1"/>
  <c r="F240" i="1"/>
  <c r="L239" i="1"/>
  <c r="K280" i="1" s="1"/>
  <c r="K310" i="1" s="1"/>
  <c r="H458" i="1"/>
  <c r="H432" i="1"/>
  <c r="U16" i="2"/>
  <c r="U22" i="2"/>
  <c r="S50" i="2"/>
  <c r="AD18" i="4" s="1"/>
  <c r="U12" i="2"/>
  <c r="J459" i="1"/>
  <c r="J433" i="1"/>
  <c r="W14" i="4"/>
  <c r="W12" i="4"/>
  <c r="X12" i="4"/>
  <c r="AL22" i="4"/>
  <c r="X22" i="4"/>
  <c r="AL25" i="4"/>
  <c r="X25" i="4"/>
  <c r="H423" i="1"/>
  <c r="H449" i="1"/>
  <c r="H442" i="1"/>
  <c r="H416" i="1"/>
  <c r="W11" i="4"/>
  <c r="U10" i="2"/>
  <c r="U20" i="2"/>
  <c r="U23" i="2"/>
  <c r="U11" i="2"/>
  <c r="U25" i="2"/>
  <c r="S53" i="2"/>
  <c r="U13" i="2"/>
  <c r="J452" i="1"/>
  <c r="J426" i="1"/>
  <c r="AL19" i="4"/>
  <c r="X19" i="4"/>
  <c r="T57" i="2"/>
  <c r="AE25" i="4" s="1"/>
  <c r="T32" i="2"/>
  <c r="J453" i="1"/>
  <c r="J427" i="1"/>
  <c r="X17" i="4"/>
  <c r="AL17" i="4"/>
  <c r="F77" i="1"/>
  <c r="N54" i="2" s="1"/>
  <c r="AK20" i="4"/>
  <c r="W20" i="4"/>
  <c r="W23" i="4"/>
  <c r="AK23" i="4"/>
  <c r="H447" i="1"/>
  <c r="H421" i="1"/>
  <c r="AL8" i="4"/>
  <c r="X8" i="4"/>
  <c r="AK8" i="4"/>
  <c r="W8" i="4"/>
  <c r="E84" i="1"/>
  <c r="J430" i="1"/>
  <c r="J456" i="1"/>
  <c r="X24" i="4"/>
  <c r="AL24" i="4"/>
  <c r="S58" i="2"/>
  <c r="U30" i="2"/>
  <c r="U9" i="2"/>
  <c r="F93" i="1"/>
  <c r="I265" i="1"/>
  <c r="T49" i="2"/>
  <c r="AE17" i="4" s="1"/>
  <c r="AL23" i="4"/>
  <c r="X23" i="4"/>
  <c r="H437" i="1"/>
  <c r="H463" i="1"/>
  <c r="H438" i="1"/>
  <c r="H464" i="1"/>
  <c r="J432" i="1"/>
  <c r="J458" i="1"/>
  <c r="J431" i="1"/>
  <c r="J457" i="1"/>
  <c r="AL6" i="4"/>
  <c r="X6" i="4"/>
  <c r="AL26" i="4"/>
  <c r="X26" i="4"/>
  <c r="H417" i="1"/>
  <c r="H443" i="1"/>
  <c r="J461" i="1"/>
  <c r="J435" i="1"/>
  <c r="J424" i="1"/>
  <c r="J450" i="1"/>
  <c r="J425" i="1"/>
  <c r="J451" i="1"/>
  <c r="X27" i="4"/>
  <c r="AL27" i="4"/>
  <c r="H460" i="1"/>
  <c r="H434" i="1"/>
  <c r="AK6" i="4"/>
  <c r="W6" i="4"/>
  <c r="E82" i="1"/>
  <c r="E80" i="1"/>
  <c r="E77" i="1"/>
  <c r="L54" i="2" s="1"/>
  <c r="J434" i="1"/>
  <c r="J460" i="1"/>
  <c r="K239" i="1"/>
  <c r="I280" i="1" s="1"/>
  <c r="I310" i="1" s="1"/>
  <c r="E240" i="1"/>
  <c r="J464" i="1"/>
  <c r="J438" i="1"/>
  <c r="J437" i="1"/>
  <c r="J463" i="1"/>
  <c r="X7" i="4"/>
  <c r="AL7" i="4"/>
  <c r="X11" i="4"/>
  <c r="H415" i="1"/>
  <c r="H441" i="1"/>
  <c r="AK22" i="4"/>
  <c r="W22" i="4"/>
  <c r="W7" i="4"/>
  <c r="AK7" i="4"/>
  <c r="U15" i="2"/>
  <c r="U18" i="2"/>
  <c r="U31" i="2"/>
  <c r="S59" i="2"/>
  <c r="AD27" i="4" s="1"/>
  <c r="U14" i="2"/>
  <c r="S32" i="2"/>
  <c r="U8" i="2"/>
  <c r="U19" i="2"/>
  <c r="S54" i="2"/>
  <c r="U26" i="2"/>
  <c r="J445" i="1"/>
  <c r="J419" i="1"/>
  <c r="T59" i="2"/>
  <c r="AE27" i="4" s="1"/>
  <c r="T50" i="2"/>
  <c r="AE18" i="4" s="1"/>
  <c r="T54" i="2"/>
  <c r="AE22" i="4" s="1"/>
  <c r="J455" i="1"/>
  <c r="J429" i="1"/>
  <c r="X14" i="4"/>
  <c r="X18" i="4"/>
  <c r="AL18" i="4"/>
  <c r="F85" i="1"/>
  <c r="N50" i="2" s="1"/>
  <c r="F81" i="1"/>
  <c r="T42" i="2"/>
  <c r="AE10" i="4" s="1"/>
  <c r="F83" i="1"/>
  <c r="N48" i="2" s="1"/>
  <c r="H455" i="1"/>
  <c r="H429" i="1"/>
  <c r="H428" i="1"/>
  <c r="H454" i="1"/>
  <c r="AK18" i="4"/>
  <c r="W18" i="4"/>
  <c r="H422" i="1"/>
  <c r="H448" i="1"/>
  <c r="H446" i="1"/>
  <c r="H420" i="1"/>
  <c r="W26" i="4"/>
  <c r="AK26" i="4"/>
  <c r="AK27" i="4"/>
  <c r="W27" i="4"/>
  <c r="H124" i="1" l="1"/>
  <c r="N223" i="1"/>
  <c r="S189" i="2" s="1"/>
  <c r="L49" i="2"/>
  <c r="L55" i="2"/>
  <c r="N49" i="2"/>
  <c r="N55" i="2"/>
  <c r="H6" i="3"/>
  <c r="N227" i="1"/>
  <c r="S193" i="2" s="1"/>
  <c r="N228" i="1"/>
  <c r="S194" i="2" s="1"/>
  <c r="N233" i="1"/>
  <c r="S199" i="2" s="1"/>
  <c r="N229" i="1"/>
  <c r="S195" i="2" s="1"/>
  <c r="U195" i="2" s="1"/>
  <c r="N225" i="1"/>
  <c r="S191" i="2" s="1"/>
  <c r="N234" i="1"/>
  <c r="S200" i="2" s="1"/>
  <c r="N230" i="1"/>
  <c r="S196" i="2" s="1"/>
  <c r="N232" i="1"/>
  <c r="S198" i="2" s="1"/>
  <c r="N231" i="1"/>
  <c r="S197" i="2" s="1"/>
  <c r="N226" i="1"/>
  <c r="S192" i="2" s="1"/>
  <c r="N224" i="1"/>
  <c r="S190" i="2" s="1"/>
  <c r="L37" i="2"/>
  <c r="N37" i="2"/>
  <c r="I5" i="3"/>
  <c r="I6" i="3" s="1"/>
  <c r="H8" i="3"/>
  <c r="H5" i="3"/>
  <c r="O230" i="1"/>
  <c r="T196" i="2" s="1"/>
  <c r="O223" i="1"/>
  <c r="T189" i="2" s="1"/>
  <c r="O224" i="1"/>
  <c r="T190" i="2" s="1"/>
  <c r="O226" i="1"/>
  <c r="T192" i="2" s="1"/>
  <c r="O225" i="1"/>
  <c r="T191" i="2" s="1"/>
  <c r="O234" i="1"/>
  <c r="T200" i="2" s="1"/>
  <c r="O233" i="1"/>
  <c r="T199" i="2" s="1"/>
  <c r="L47" i="2"/>
  <c r="L41" i="2"/>
  <c r="N47" i="2"/>
  <c r="N41" i="2"/>
  <c r="O227" i="1"/>
  <c r="T193" i="2" s="1"/>
  <c r="G29" i="1"/>
  <c r="G30" i="1" s="1"/>
  <c r="O231" i="1"/>
  <c r="T197" i="2" s="1"/>
  <c r="O228" i="1"/>
  <c r="T194" i="2" s="1"/>
  <c r="O232" i="1"/>
  <c r="T198" i="2" s="1"/>
  <c r="J6" i="3"/>
  <c r="K5" i="3"/>
  <c r="K9" i="3" s="1"/>
  <c r="K10" i="3" s="1"/>
  <c r="J8" i="3"/>
  <c r="J124" i="1"/>
  <c r="J7" i="3"/>
  <c r="K279" i="1"/>
  <c r="K309" i="1" s="1"/>
  <c r="I279" i="1"/>
  <c r="I309" i="1" s="1"/>
  <c r="AL9" i="4"/>
  <c r="AK9" i="4"/>
  <c r="X4" i="4"/>
  <c r="W4" i="4"/>
  <c r="AK5" i="4"/>
  <c r="W5" i="4"/>
  <c r="AL5" i="4"/>
  <c r="U48" i="2"/>
  <c r="U58" i="2"/>
  <c r="U57" i="2"/>
  <c r="AF27" i="4"/>
  <c r="AD26" i="4"/>
  <c r="AF26" i="4" s="1"/>
  <c r="AD8" i="4"/>
  <c r="AD7" i="4"/>
  <c r="AD9" i="4"/>
  <c r="AD5" i="4"/>
  <c r="AF18" i="4"/>
  <c r="L240" i="1"/>
  <c r="K281" i="1" s="1"/>
  <c r="K311" i="1" s="1"/>
  <c r="F241" i="1"/>
  <c r="AF24" i="4"/>
  <c r="AF23" i="4"/>
  <c r="AF17" i="4"/>
  <c r="K240" i="1"/>
  <c r="I281" i="1" s="1"/>
  <c r="I311" i="1" s="1"/>
  <c r="E241" i="1"/>
  <c r="AD21" i="4"/>
  <c r="AD16" i="4"/>
  <c r="AF16" i="4" s="1"/>
  <c r="U50" i="2"/>
  <c r="U56" i="2"/>
  <c r="AD25" i="4"/>
  <c r="AF25" i="4" s="1"/>
  <c r="U55" i="2"/>
  <c r="U49" i="2"/>
  <c r="AD22" i="4"/>
  <c r="U32" i="2"/>
  <c r="U59" i="2"/>
  <c r="AD20" i="4"/>
  <c r="I9" i="3" l="1"/>
  <c r="I10" i="3" s="1"/>
  <c r="U192" i="2"/>
  <c r="U189" i="2"/>
  <c r="U194" i="2"/>
  <c r="U191" i="2"/>
  <c r="U193" i="2"/>
  <c r="U199" i="2"/>
  <c r="U200" i="2"/>
  <c r="U196" i="2"/>
  <c r="U198" i="2"/>
  <c r="S188" i="2"/>
  <c r="U197" i="2"/>
  <c r="S246" i="2"/>
  <c r="U190" i="2"/>
  <c r="T188" i="2"/>
  <c r="T246" i="2"/>
  <c r="K6" i="3"/>
  <c r="K241" i="1"/>
  <c r="I282" i="1" s="1"/>
  <c r="I312" i="1" s="1"/>
  <c r="E242" i="1"/>
  <c r="L241" i="1"/>
  <c r="K282" i="1" s="1"/>
  <c r="K312" i="1" s="1"/>
  <c r="F242" i="1"/>
  <c r="U188" i="2" l="1"/>
  <c r="U246" i="2"/>
  <c r="L242" i="1"/>
  <c r="K283" i="1" s="1"/>
  <c r="K313" i="1" s="1"/>
  <c r="F243" i="1"/>
  <c r="E243" i="1"/>
  <c r="K242" i="1"/>
  <c r="I283" i="1" s="1"/>
  <c r="I313" i="1" s="1"/>
  <c r="L243" i="1" l="1"/>
  <c r="K284" i="1" s="1"/>
  <c r="K314" i="1" s="1"/>
  <c r="F244" i="1"/>
  <c r="K243" i="1"/>
  <c r="I284" i="1" s="1"/>
  <c r="I314" i="1" s="1"/>
  <c r="E244" i="1"/>
  <c r="K244" i="1" l="1"/>
  <c r="I285" i="1" s="1"/>
  <c r="I315" i="1" s="1"/>
  <c r="E245" i="1"/>
  <c r="L244" i="1"/>
  <c r="K285" i="1" s="1"/>
  <c r="K315" i="1" s="1"/>
  <c r="F245" i="1"/>
  <c r="L245" i="1" l="1"/>
  <c r="F246" i="1"/>
  <c r="E246" i="1"/>
  <c r="K245" i="1"/>
  <c r="H286" i="1" l="1"/>
  <c r="H316" i="1" s="1"/>
  <c r="J286" i="1"/>
  <c r="J316" i="1" s="1"/>
  <c r="K246" i="1"/>
  <c r="E247" i="1"/>
  <c r="L246" i="1"/>
  <c r="F247" i="1"/>
  <c r="J287" i="1" l="1"/>
  <c r="J317" i="1" s="1"/>
  <c r="K286" i="1"/>
  <c r="K316" i="1" s="1"/>
  <c r="H287" i="1"/>
  <c r="H317" i="1" s="1"/>
  <c r="I286" i="1"/>
  <c r="I316" i="1" s="1"/>
  <c r="L247" i="1"/>
  <c r="F248" i="1"/>
  <c r="K247" i="1"/>
  <c r="E248" i="1"/>
  <c r="I287" i="1" l="1"/>
  <c r="I317" i="1" s="1"/>
  <c r="K287" i="1"/>
  <c r="K317" i="1" s="1"/>
  <c r="H288" i="1"/>
  <c r="H318" i="1" s="1"/>
  <c r="J288" i="1"/>
  <c r="J318" i="1" s="1"/>
  <c r="E249" i="1"/>
  <c r="K248" i="1"/>
  <c r="L248" i="1"/>
  <c r="F249" i="1"/>
  <c r="J289" i="1" l="1"/>
  <c r="J319" i="1" s="1"/>
  <c r="K288" i="1"/>
  <c r="K318" i="1" s="1"/>
  <c r="H289" i="1"/>
  <c r="H319" i="1" s="1"/>
  <c r="I288" i="1"/>
  <c r="I318" i="1" s="1"/>
  <c r="L249" i="1"/>
  <c r="K290" i="1" s="1"/>
  <c r="K320" i="1" s="1"/>
  <c r="F250" i="1"/>
  <c r="K249" i="1"/>
  <c r="I290" i="1" s="1"/>
  <c r="I320" i="1" s="1"/>
  <c r="E250" i="1"/>
  <c r="K289" i="1" l="1"/>
  <c r="K319" i="1" s="1"/>
  <c r="I289" i="1"/>
  <c r="I319" i="1" s="1"/>
  <c r="K250" i="1"/>
  <c r="I291" i="1" s="1"/>
  <c r="I321" i="1" s="1"/>
  <c r="E251" i="1"/>
  <c r="L250" i="1"/>
  <c r="K291" i="1" s="1"/>
  <c r="K321" i="1" s="1"/>
  <c r="F251" i="1"/>
  <c r="E252" i="1" l="1"/>
  <c r="K251" i="1"/>
  <c r="I292" i="1" s="1"/>
  <c r="I322" i="1" s="1"/>
  <c r="L251" i="1"/>
  <c r="K292" i="1" s="1"/>
  <c r="K322" i="1" s="1"/>
  <c r="F252" i="1"/>
  <c r="K252" i="1" l="1"/>
  <c r="I293" i="1" s="1"/>
  <c r="I323" i="1" s="1"/>
  <c r="E253" i="1"/>
  <c r="L252" i="1"/>
  <c r="K293" i="1" s="1"/>
  <c r="K323" i="1" s="1"/>
  <c r="F253" i="1"/>
  <c r="L253" i="1" l="1"/>
  <c r="K294" i="1" s="1"/>
  <c r="K324" i="1" s="1"/>
  <c r="F254" i="1"/>
  <c r="E254" i="1"/>
  <c r="K253" i="1"/>
  <c r="I294" i="1" s="1"/>
  <c r="I324" i="1" s="1"/>
  <c r="L254" i="1" l="1"/>
  <c r="K295" i="1" s="1"/>
  <c r="K325" i="1" s="1"/>
  <c r="F255" i="1"/>
  <c r="K254" i="1"/>
  <c r="I295" i="1" s="1"/>
  <c r="I325" i="1" s="1"/>
  <c r="E255" i="1"/>
  <c r="L255" i="1" l="1"/>
  <c r="K296" i="1" s="1"/>
  <c r="K326" i="1" s="1"/>
  <c r="F256" i="1"/>
  <c r="E256" i="1"/>
  <c r="K255" i="1"/>
  <c r="I296" i="1" s="1"/>
  <c r="I326" i="1" s="1"/>
  <c r="F257" i="1" l="1"/>
  <c r="L256" i="1"/>
  <c r="K297" i="1" s="1"/>
  <c r="K327" i="1" s="1"/>
  <c r="K256" i="1"/>
  <c r="I297" i="1" s="1"/>
  <c r="I327" i="1" s="1"/>
  <c r="E257" i="1"/>
  <c r="K257" i="1" l="1"/>
  <c r="I298" i="1" s="1"/>
  <c r="I328" i="1" s="1"/>
  <c r="E258" i="1"/>
  <c r="L257" i="1"/>
  <c r="K298" i="1" s="1"/>
  <c r="K328" i="1" s="1"/>
  <c r="F258" i="1"/>
  <c r="L258" i="1" l="1"/>
  <c r="K299" i="1" s="1"/>
  <c r="K329" i="1" s="1"/>
  <c r="F259" i="1"/>
  <c r="E259" i="1"/>
  <c r="K258" i="1"/>
  <c r="I299" i="1" s="1"/>
  <c r="I329" i="1" s="1"/>
  <c r="E260" i="1" l="1"/>
  <c r="K259" i="1"/>
  <c r="I300" i="1" s="1"/>
  <c r="I330" i="1" s="1"/>
  <c r="L259" i="1"/>
  <c r="K300" i="1" s="1"/>
  <c r="K330" i="1" s="1"/>
  <c r="F260" i="1"/>
  <c r="E261" i="1" l="1"/>
  <c r="K261" i="1" s="1"/>
  <c r="I302" i="1" s="1"/>
  <c r="I332" i="1" s="1"/>
  <c r="K260" i="1"/>
  <c r="I301" i="1" s="1"/>
  <c r="I331" i="1" s="1"/>
  <c r="L260" i="1"/>
  <c r="K301" i="1" s="1"/>
  <c r="K331" i="1" s="1"/>
  <c r="F261" i="1"/>
  <c r="L261" i="1" s="1"/>
  <c r="K302" i="1" s="1"/>
  <c r="K332" i="1" s="1"/>
  <c r="P39" i="2" l="1"/>
  <c r="U39" i="2" s="1"/>
  <c r="Q47" i="2"/>
  <c r="AB15" i="4" s="1"/>
  <c r="Q52" i="2"/>
  <c r="Q53" i="2"/>
  <c r="Q54" i="2"/>
  <c r="U54" i="2" s="1"/>
  <c r="R47" i="2"/>
  <c r="C308" i="1"/>
  <c r="AA7" i="4" l="1"/>
  <c r="AF7" i="4" s="1"/>
  <c r="D308" i="1"/>
  <c r="K308" i="1"/>
  <c r="T38" i="2"/>
  <c r="AE6" i="4" s="1"/>
  <c r="F90" i="1"/>
  <c r="F89" i="1"/>
  <c r="AB22" i="4"/>
  <c r="AF22" i="4" s="1"/>
  <c r="F92" i="1"/>
  <c r="S38" i="2"/>
  <c r="E89" i="1"/>
  <c r="D92" i="1"/>
  <c r="B92" i="1"/>
  <c r="E308" i="1"/>
  <c r="B308" i="1"/>
  <c r="AB20" i="4"/>
  <c r="C92" i="1"/>
  <c r="AC15" i="4"/>
  <c r="D90" i="1"/>
  <c r="C90" i="1"/>
  <c r="B90" i="1"/>
  <c r="AB21" i="4"/>
  <c r="B367" i="1" l="1"/>
  <c r="P41" i="2" s="1"/>
  <c r="U41" i="2" s="1"/>
  <c r="AH4" i="4"/>
  <c r="AI4" i="4"/>
  <c r="D348" i="1"/>
  <c r="AA9" i="4"/>
  <c r="AF9" i="4" s="1"/>
  <c r="AH14" i="4"/>
  <c r="B373" i="1"/>
  <c r="P47" i="2" s="1"/>
  <c r="AA15" i="4" s="1"/>
  <c r="B374" i="1"/>
  <c r="B376" i="1"/>
  <c r="B375" i="1"/>
  <c r="B377" i="1"/>
  <c r="B378" i="1"/>
  <c r="P52" i="2" s="1"/>
  <c r="B379" i="1"/>
  <c r="P53" i="2" s="1"/>
  <c r="AI14" i="4"/>
  <c r="B366" i="1"/>
  <c r="P40" i="2" s="1"/>
  <c r="B368" i="1"/>
  <c r="P42" i="2" s="1"/>
  <c r="B369" i="1"/>
  <c r="B370" i="1"/>
  <c r="P44" i="2" s="1"/>
  <c r="AA12" i="4" s="1"/>
  <c r="B371" i="1"/>
  <c r="P45" i="2" s="1"/>
  <c r="AA13" i="4" s="1"/>
  <c r="B372" i="1"/>
  <c r="P46" i="2" s="1"/>
  <c r="AA14" i="4" s="1"/>
  <c r="AI11" i="4"/>
  <c r="AI12" i="4"/>
  <c r="AI13" i="4"/>
  <c r="B357" i="1"/>
  <c r="AH11" i="4"/>
  <c r="AH12" i="4"/>
  <c r="AH13" i="4"/>
  <c r="Q38" i="2"/>
  <c r="AB6" i="4" s="1"/>
  <c r="B355" i="1"/>
  <c r="F79" i="1"/>
  <c r="E90" i="1"/>
  <c r="D354" i="1"/>
  <c r="F91" i="1"/>
  <c r="I308" i="1"/>
  <c r="B365" i="1"/>
  <c r="E79" i="1"/>
  <c r="B354" i="1"/>
  <c r="B340" i="1"/>
  <c r="D359" i="1"/>
  <c r="D358" i="1"/>
  <c r="J308" i="1"/>
  <c r="F86" i="1"/>
  <c r="E92" i="1"/>
  <c r="D381" i="1"/>
  <c r="D355" i="1"/>
  <c r="B345" i="1"/>
  <c r="B349" i="1"/>
  <c r="B359" i="1"/>
  <c r="B350" i="1"/>
  <c r="B352" i="1"/>
  <c r="B364" i="1"/>
  <c r="B348" i="1"/>
  <c r="B336" i="1"/>
  <c r="B353" i="1"/>
  <c r="B341" i="1"/>
  <c r="B86" i="1"/>
  <c r="G44" i="2" s="1"/>
  <c r="B343" i="1"/>
  <c r="B346" i="1"/>
  <c r="C89" i="1"/>
  <c r="E91" i="1"/>
  <c r="B338" i="1"/>
  <c r="B339" i="1"/>
  <c r="B358" i="1"/>
  <c r="AD6" i="4"/>
  <c r="B362" i="1"/>
  <c r="B363" i="1"/>
  <c r="P37" i="2" s="1"/>
  <c r="B347" i="1"/>
  <c r="B337" i="1"/>
  <c r="B342" i="1"/>
  <c r="B356" i="1"/>
  <c r="B344" i="1"/>
  <c r="B351" i="1"/>
  <c r="D374" i="1"/>
  <c r="D383" i="1"/>
  <c r="D344" i="1"/>
  <c r="D356" i="1"/>
  <c r="D379" i="1"/>
  <c r="D349" i="1"/>
  <c r="D345" i="1"/>
  <c r="D370" i="1"/>
  <c r="Q44" i="2" s="1"/>
  <c r="AB12" i="4" s="1"/>
  <c r="D353" i="1"/>
  <c r="B89" i="1"/>
  <c r="H308" i="1"/>
  <c r="AK4" i="4" s="1"/>
  <c r="E86" i="1"/>
  <c r="D368" i="1"/>
  <c r="D376" i="1"/>
  <c r="D340" i="1"/>
  <c r="D371" i="1"/>
  <c r="Q45" i="2" s="1"/>
  <c r="AB13" i="4" s="1"/>
  <c r="D352" i="1"/>
  <c r="D357" i="1"/>
  <c r="D366" i="1"/>
  <c r="D377" i="1"/>
  <c r="D369" i="1"/>
  <c r="D365" i="1"/>
  <c r="F308" i="1"/>
  <c r="AJ4" i="4" s="1"/>
  <c r="D375" i="1"/>
  <c r="D347" i="1"/>
  <c r="B91" i="1"/>
  <c r="D380" i="1"/>
  <c r="D372" i="1"/>
  <c r="Q46" i="2" s="1"/>
  <c r="AB14" i="4" s="1"/>
  <c r="D351" i="1"/>
  <c r="D363" i="1"/>
  <c r="Q37" i="2" s="1"/>
  <c r="AB5" i="4" s="1"/>
  <c r="D337" i="1"/>
  <c r="D378" i="1"/>
  <c r="G308" i="1"/>
  <c r="D342" i="1"/>
  <c r="D364" i="1"/>
  <c r="D362" i="1"/>
  <c r="D346" i="1"/>
  <c r="D338" i="1"/>
  <c r="D343" i="1"/>
  <c r="D367" i="1"/>
  <c r="D385" i="1"/>
  <c r="D341" i="1"/>
  <c r="D373" i="1"/>
  <c r="D384" i="1"/>
  <c r="D336" i="1"/>
  <c r="D382" i="1"/>
  <c r="D339" i="1"/>
  <c r="D350" i="1"/>
  <c r="D89" i="1"/>
  <c r="C79" i="1"/>
  <c r="B79" i="1"/>
  <c r="P38" i="2"/>
  <c r="D79" i="1"/>
  <c r="R38" i="2"/>
  <c r="C91" i="1"/>
  <c r="AA5" i="4" l="1"/>
  <c r="AL14" i="4"/>
  <c r="AL4" i="4"/>
  <c r="N44" i="2"/>
  <c r="N52" i="2"/>
  <c r="N40" i="2"/>
  <c r="N39" i="2"/>
  <c r="G52" i="2"/>
  <c r="G40" i="2"/>
  <c r="G39" i="2"/>
  <c r="H52" i="2"/>
  <c r="H40" i="2"/>
  <c r="H39" i="2"/>
  <c r="J52" i="2"/>
  <c r="J39" i="2"/>
  <c r="J40" i="2"/>
  <c r="L44" i="2"/>
  <c r="L52" i="2"/>
  <c r="L39" i="2"/>
  <c r="L40" i="2"/>
  <c r="AK14" i="4"/>
  <c r="AA21" i="4"/>
  <c r="AF21" i="4" s="1"/>
  <c r="U53" i="2"/>
  <c r="AA20" i="4"/>
  <c r="AF20" i="4" s="1"/>
  <c r="U52" i="2"/>
  <c r="AJ14" i="4"/>
  <c r="AA10" i="4"/>
  <c r="AF10" i="4" s="1"/>
  <c r="U42" i="2"/>
  <c r="AA8" i="4"/>
  <c r="AF8" i="4" s="1"/>
  <c r="U40" i="2"/>
  <c r="G38" i="2"/>
  <c r="G42" i="2"/>
  <c r="H38" i="2"/>
  <c r="H42" i="2"/>
  <c r="L38" i="2"/>
  <c r="L42" i="2"/>
  <c r="N38" i="2"/>
  <c r="N42" i="2"/>
  <c r="J38" i="2"/>
  <c r="J42" i="2"/>
  <c r="AL11" i="4"/>
  <c r="AL12" i="4"/>
  <c r="AL13" i="4"/>
  <c r="D87" i="1"/>
  <c r="E87" i="1"/>
  <c r="B87" i="1"/>
  <c r="C87" i="1"/>
  <c r="AK11" i="4"/>
  <c r="AK12" i="4"/>
  <c r="AK13" i="4"/>
  <c r="AJ13" i="4"/>
  <c r="AJ12" i="4"/>
  <c r="AJ11" i="4"/>
  <c r="F87" i="1"/>
  <c r="U38" i="2"/>
  <c r="AC6" i="4"/>
  <c r="AA6" i="4"/>
  <c r="J336" i="1"/>
  <c r="J362" i="1" s="1"/>
  <c r="J337" i="1"/>
  <c r="J363" i="1" s="1"/>
  <c r="J338" i="1"/>
  <c r="J364" i="1" s="1"/>
  <c r="J339" i="1"/>
  <c r="J365" i="1" s="1"/>
  <c r="J340" i="1"/>
  <c r="J366" i="1" s="1"/>
  <c r="J341" i="1"/>
  <c r="J367" i="1" s="1"/>
  <c r="J342" i="1"/>
  <c r="J368" i="1" s="1"/>
  <c r="J343" i="1"/>
  <c r="J369" i="1" s="1"/>
  <c r="J344" i="1"/>
  <c r="J370" i="1" s="1"/>
  <c r="T44" i="2" s="1"/>
  <c r="AE12" i="4" s="1"/>
  <c r="J345" i="1"/>
  <c r="J371" i="1" s="1"/>
  <c r="T45" i="2" s="1"/>
  <c r="AE13" i="4" s="1"/>
  <c r="J347" i="1"/>
  <c r="J373" i="1" s="1"/>
  <c r="T47" i="2" s="1"/>
  <c r="AE15" i="4" s="1"/>
  <c r="J346" i="1"/>
  <c r="J372" i="1" s="1"/>
  <c r="T46" i="2" s="1"/>
  <c r="AE14" i="4" s="1"/>
  <c r="J348" i="1"/>
  <c r="J374" i="1" s="1"/>
  <c r="J349" i="1"/>
  <c r="J375" i="1" s="1"/>
  <c r="J350" i="1"/>
  <c r="J376" i="1" s="1"/>
  <c r="J351" i="1"/>
  <c r="J377" i="1" s="1"/>
  <c r="J352" i="1"/>
  <c r="J378" i="1" s="1"/>
  <c r="J353" i="1"/>
  <c r="J379" i="1" s="1"/>
  <c r="J354" i="1"/>
  <c r="J380" i="1" s="1"/>
  <c r="J355" i="1"/>
  <c r="J381" i="1" s="1"/>
  <c r="J356" i="1"/>
  <c r="J382" i="1" s="1"/>
  <c r="J357" i="1"/>
  <c r="J383" i="1" s="1"/>
  <c r="J358" i="1"/>
  <c r="J384" i="1" s="1"/>
  <c r="J359" i="1"/>
  <c r="J385" i="1" s="1"/>
  <c r="H363" i="1"/>
  <c r="H337" i="1"/>
  <c r="H362" i="1"/>
  <c r="H338" i="1"/>
  <c r="H336" i="1"/>
  <c r="H364" i="1"/>
  <c r="H365" i="1"/>
  <c r="H339" i="1"/>
  <c r="H366" i="1"/>
  <c r="H340" i="1"/>
  <c r="H367" i="1"/>
  <c r="H341" i="1"/>
  <c r="H368" i="1"/>
  <c r="H342" i="1"/>
  <c r="H369" i="1"/>
  <c r="H343" i="1"/>
  <c r="H370" i="1"/>
  <c r="S44" i="2" s="1"/>
  <c r="H344" i="1"/>
  <c r="H371" i="1"/>
  <c r="S45" i="2" s="1"/>
  <c r="H373" i="1"/>
  <c r="S47" i="2" s="1"/>
  <c r="H345" i="1"/>
  <c r="H347" i="1"/>
  <c r="H348" i="1"/>
  <c r="H372" i="1"/>
  <c r="S46" i="2" s="1"/>
  <c r="H346" i="1"/>
  <c r="H374" i="1"/>
  <c r="H349" i="1"/>
  <c r="H375" i="1"/>
  <c r="H376" i="1"/>
  <c r="H350" i="1"/>
  <c r="H377" i="1"/>
  <c r="H351" i="1"/>
  <c r="H378" i="1"/>
  <c r="H352" i="1"/>
  <c r="H379" i="1"/>
  <c r="H353" i="1"/>
  <c r="H380" i="1"/>
  <c r="H354" i="1"/>
  <c r="H355" i="1"/>
  <c r="H381" i="1"/>
  <c r="H382" i="1"/>
  <c r="H356" i="1"/>
  <c r="H383" i="1"/>
  <c r="H357" i="1"/>
  <c r="H384" i="1"/>
  <c r="H358" i="1"/>
  <c r="H385" i="1"/>
  <c r="H359" i="1"/>
  <c r="F344" i="1"/>
  <c r="F346" i="1"/>
  <c r="F369" i="1"/>
  <c r="F365" i="1"/>
  <c r="F378" i="1"/>
  <c r="F370" i="1"/>
  <c r="R44" i="2" s="1"/>
  <c r="AC12" i="4" s="1"/>
  <c r="F349" i="1"/>
  <c r="F376" i="1"/>
  <c r="F356" i="1"/>
  <c r="F373" i="1"/>
  <c r="F381" i="1"/>
  <c r="F366" i="1"/>
  <c r="F372" i="1"/>
  <c r="R46" i="2" s="1"/>
  <c r="AC14" i="4" s="1"/>
  <c r="F379" i="1"/>
  <c r="F351" i="1"/>
  <c r="F350" i="1"/>
  <c r="F345" i="1"/>
  <c r="F363" i="1"/>
  <c r="R37" i="2" s="1"/>
  <c r="AC5" i="4" s="1"/>
  <c r="F383" i="1"/>
  <c r="F371" i="1"/>
  <c r="R45" i="2" s="1"/>
  <c r="AC13" i="4" s="1"/>
  <c r="F385" i="1"/>
  <c r="F359" i="1"/>
  <c r="F341" i="1"/>
  <c r="F338" i="1"/>
  <c r="F336" i="1"/>
  <c r="F362" i="1"/>
  <c r="F339" i="1"/>
  <c r="F337" i="1"/>
  <c r="F352" i="1"/>
  <c r="F353" i="1"/>
  <c r="F340" i="1"/>
  <c r="F375" i="1"/>
  <c r="F367" i="1"/>
  <c r="F342" i="1"/>
  <c r="F357" i="1"/>
  <c r="F384" i="1"/>
  <c r="F354" i="1"/>
  <c r="F368" i="1"/>
  <c r="F347" i="1"/>
  <c r="F355" i="1"/>
  <c r="F374" i="1"/>
  <c r="F358" i="1"/>
  <c r="F348" i="1"/>
  <c r="F377" i="1"/>
  <c r="F343" i="1"/>
  <c r="F380" i="1"/>
  <c r="F364" i="1"/>
  <c r="F382" i="1"/>
  <c r="U37" i="2" l="1"/>
  <c r="AF5" i="4"/>
  <c r="D88" i="1"/>
  <c r="B88" i="1"/>
  <c r="F88" i="1"/>
  <c r="C88" i="1"/>
  <c r="E88" i="1"/>
  <c r="AF6" i="4"/>
  <c r="AD15" i="4"/>
  <c r="AF15" i="4" s="1"/>
  <c r="U47" i="2"/>
  <c r="AD13" i="4"/>
  <c r="AF13" i="4" s="1"/>
  <c r="U45" i="2"/>
  <c r="AD14" i="4"/>
  <c r="AF14" i="4" s="1"/>
  <c r="U46" i="2"/>
  <c r="AD12" i="4"/>
  <c r="AF12" i="4" s="1"/>
  <c r="U44" i="2"/>
  <c r="H45" i="2" l="1"/>
  <c r="H46" i="2"/>
  <c r="N45" i="2"/>
  <c r="N46" i="2"/>
  <c r="G45" i="2"/>
  <c r="G46" i="2"/>
  <c r="L45" i="2"/>
  <c r="L46" i="2"/>
  <c r="J45" i="2"/>
  <c r="J46" i="2"/>
  <c r="J55" i="1"/>
  <c r="K55" i="1" s="1"/>
  <c r="V245" i="1" l="1"/>
  <c r="V238" i="1"/>
  <c r="V253" i="1"/>
  <c r="F55" i="1"/>
  <c r="R238" i="1" s="1"/>
  <c r="N245" i="1"/>
  <c r="N253" i="1"/>
  <c r="H55" i="1"/>
  <c r="N238" i="1"/>
  <c r="X238" i="1" s="1"/>
  <c r="R245" i="1" l="1"/>
  <c r="R253" i="1"/>
  <c r="I55" i="1"/>
  <c r="U245" i="1" s="1"/>
  <c r="W245" i="1"/>
  <c r="T43" i="2" s="1"/>
  <c r="AE11" i="4" s="1"/>
  <c r="F76" i="1"/>
  <c r="W253" i="1"/>
  <c r="T51" i="2" s="1"/>
  <c r="AE19" i="4" s="1"/>
  <c r="W238" i="1"/>
  <c r="T36" i="2" s="1"/>
  <c r="Q253" i="1"/>
  <c r="Q238" i="1"/>
  <c r="Q245" i="1"/>
  <c r="O238" i="1"/>
  <c r="P36" i="2" s="1"/>
  <c r="AA4" i="4" s="1"/>
  <c r="O253" i="1"/>
  <c r="P51" i="2" s="1"/>
  <c r="AA19" i="4" s="1"/>
  <c r="O245" i="1"/>
  <c r="P43" i="2" s="1"/>
  <c r="G55" i="1"/>
  <c r="B76" i="1"/>
  <c r="U253" i="1"/>
  <c r="T245" i="1"/>
  <c r="T238" i="1"/>
  <c r="T253" i="1"/>
  <c r="C76" i="1"/>
  <c r="P245" i="1"/>
  <c r="P253" i="1"/>
  <c r="P238" i="1"/>
  <c r="U238" i="1" l="1"/>
  <c r="E76" i="1"/>
  <c r="Q36" i="2"/>
  <c r="AB4" i="4" s="1"/>
  <c r="Q51" i="2"/>
  <c r="AB19" i="4" s="1"/>
  <c r="Q43" i="2"/>
  <c r="AB11" i="4" s="1"/>
  <c r="AE4" i="4"/>
  <c r="T60" i="2"/>
  <c r="T61" i="2" s="1"/>
  <c r="N51" i="2"/>
  <c r="N43" i="2"/>
  <c r="N36" i="2"/>
  <c r="S51" i="2"/>
  <c r="AD19" i="4" s="1"/>
  <c r="AA11" i="4"/>
  <c r="P60" i="2"/>
  <c r="P61" i="2" s="1"/>
  <c r="C218" i="1" s="1"/>
  <c r="S238" i="1"/>
  <c r="R36" i="2" s="1"/>
  <c r="S253" i="1"/>
  <c r="R51" i="2" s="1"/>
  <c r="AC19" i="4" s="1"/>
  <c r="S245" i="1"/>
  <c r="R43" i="2" s="1"/>
  <c r="AC11" i="4" s="1"/>
  <c r="D76" i="1"/>
  <c r="G43" i="2"/>
  <c r="G36" i="2"/>
  <c r="G51" i="2"/>
  <c r="S36" i="2"/>
  <c r="AD4" i="4" s="1"/>
  <c r="S43" i="2"/>
  <c r="AD11" i="4" s="1"/>
  <c r="H51" i="2"/>
  <c r="H43" i="2"/>
  <c r="H36" i="2"/>
  <c r="L43" i="2"/>
  <c r="L36" i="2"/>
  <c r="L51" i="2"/>
  <c r="Q60" i="2" l="1"/>
  <c r="Q61" i="2" s="1"/>
  <c r="Q248" i="2" s="1"/>
  <c r="Q247" i="2" s="1"/>
  <c r="AF19" i="4"/>
  <c r="AF11" i="4"/>
  <c r="P248" i="2"/>
  <c r="P247" i="2" s="1"/>
  <c r="G218" i="1"/>
  <c r="T248" i="2"/>
  <c r="T247" i="2" s="1"/>
  <c r="U51" i="2"/>
  <c r="AC4" i="4"/>
  <c r="AF4" i="4" s="1"/>
  <c r="R60" i="2"/>
  <c r="R61" i="2" s="1"/>
  <c r="J43" i="2"/>
  <c r="J36" i="2"/>
  <c r="J51" i="2"/>
  <c r="U36" i="2"/>
  <c r="U43" i="2"/>
  <c r="S60" i="2"/>
  <c r="S61" i="2" s="1"/>
  <c r="F218" i="1" s="1"/>
  <c r="C220" i="1" l="1"/>
  <c r="D218" i="1"/>
  <c r="C219" i="1"/>
  <c r="G220" i="1"/>
  <c r="G219" i="1"/>
  <c r="E218" i="1"/>
  <c r="R248" i="2"/>
  <c r="R247" i="2" s="1"/>
  <c r="S248" i="2"/>
  <c r="S247" i="2" s="1"/>
  <c r="U60" i="2"/>
  <c r="U61" i="2" s="1"/>
  <c r="D220" i="1"/>
  <c r="D219" i="1"/>
  <c r="P249" i="2" l="1"/>
  <c r="P251" i="2" s="1"/>
  <c r="C8" i="3" s="1"/>
  <c r="C11" i="3" s="1"/>
  <c r="T249" i="2"/>
  <c r="K7" i="3" s="1"/>
  <c r="Q249" i="2"/>
  <c r="E7" i="3" s="1"/>
  <c r="F219" i="1"/>
  <c r="H218" i="1"/>
  <c r="U248" i="2"/>
  <c r="F220" i="1"/>
  <c r="E220" i="1"/>
  <c r="E219" i="1"/>
  <c r="P252" i="2" l="1"/>
  <c r="C7" i="3"/>
  <c r="T251" i="2"/>
  <c r="S249" i="2"/>
  <c r="R249" i="2"/>
  <c r="G7" i="3" s="1"/>
  <c r="Q251" i="2"/>
  <c r="E8" i="3" s="1"/>
  <c r="E11" i="3" s="1"/>
  <c r="H220" i="1"/>
  <c r="U247" i="2"/>
  <c r="H219" i="1"/>
  <c r="K8" i="3" l="1"/>
  <c r="K11" i="3" s="1"/>
  <c r="T252" i="2"/>
  <c r="R251" i="2"/>
  <c r="R252" i="2" s="1"/>
  <c r="U249" i="2"/>
  <c r="I7" i="3"/>
  <c r="S251" i="2"/>
  <c r="Q252" i="2"/>
  <c r="G8" i="3" l="1"/>
  <c r="G11" i="3" s="1"/>
  <c r="I8" i="3"/>
  <c r="I11" i="3" s="1"/>
  <c r="S252" i="2"/>
  <c r="U251" i="2"/>
  <c r="U252" i="2" s="1"/>
  <c r="J12" i="3" l="1"/>
</calcChain>
</file>

<file path=xl/comments1.xml><?xml version="1.0" encoding="utf-8"?>
<comments xmlns="http://schemas.openxmlformats.org/spreadsheetml/2006/main">
  <authors>
    <author>Alyssa Bunn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>Alyssa Bunn:</t>
        </r>
        <r>
          <rPr>
            <sz val="9"/>
            <color indexed="81"/>
            <rFont val="Tahoma"/>
            <family val="2"/>
          </rPr>
          <t xml:space="preserve">
Enter Institutional Base salary here regardless of type of salary requested (AY, SMR, Call)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Alyssa Bunn:</t>
        </r>
        <r>
          <rPr>
            <sz val="9"/>
            <color indexed="81"/>
            <rFont val="Tahoma"/>
            <family val="2"/>
          </rPr>
          <t xml:space="preserve">
Enter summer months salary here for 9/12 and 11/12 faculty (e.g.,3/9ths of base salary for 9/12 faculty) </t>
        </r>
      </text>
    </comment>
    <comment ref="P34" authorId="0" shapeId="0">
      <text>
        <r>
          <rPr>
            <sz val="9"/>
            <color indexed="81"/>
            <rFont val="Tahoma"/>
            <family val="2"/>
          </rPr>
          <t>Yes is applicable to non-federal funds only. CBR add-on of 1.28% for full benefit eligible employees. GAEL is not included here but could be added to other expenses for non-federal projects.</t>
        </r>
      </text>
    </comment>
    <comment ref="S34" authorId="0" shapeId="0">
      <text>
        <r>
          <rPr>
            <b/>
            <sz val="9"/>
            <color indexed="81"/>
            <rFont val="Tahoma"/>
            <family val="2"/>
          </rPr>
          <t xml:space="preserve">Alyssa Bun
</t>
        </r>
        <r>
          <rPr>
            <sz val="9"/>
            <color indexed="81"/>
            <rFont val="Tahoma"/>
            <family val="2"/>
          </rPr>
          <t>You should only choose "No" if sponsor policy does not allow fringe projections (e.g., Some DOE and NIH)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35" authorId="0" shapeId="0">
      <text>
        <r>
          <rPr>
            <b/>
            <sz val="8"/>
            <color indexed="81"/>
            <rFont val="Cambria"/>
            <family val="1"/>
          </rPr>
          <t>Special Summer Salary Choices (at bottom of dropdown list):
Faculty Summer A: 6/15-9/15 
Faculty SummerB: 7/1-9/15
Faculty Summer C: 7/1-9/1
Summer calculation based on effort; if % effort exceeds available summer, excess is calculated at highest rate for period.
?s- aabunn@ucadvis.edu</t>
        </r>
      </text>
    </comment>
    <comment ref="M155" authorId="0" shapeId="0">
      <text>
        <r>
          <rPr>
            <b/>
            <sz val="9"/>
            <color indexed="81"/>
            <rFont val="Tahoma"/>
            <family val="2"/>
          </rPr>
          <t>Alyssa Bunn:</t>
        </r>
        <r>
          <rPr>
            <sz val="9"/>
            <color indexed="81"/>
            <rFont val="Tahoma"/>
            <family val="2"/>
          </rPr>
          <t xml:space="preserve">
UC is always excluded from the IC Base- even when using TDC or TC.  Use "excluded" when indirect is not applied to the subaward for a reason other than it is another UC.</t>
        </r>
      </text>
    </comment>
    <comment ref="D249" authorId="0" shapeId="0">
      <text>
        <r>
          <rPr>
            <b/>
            <sz val="9"/>
            <color indexed="81"/>
            <rFont val="Tahoma"/>
            <family val="2"/>
          </rPr>
          <t xml:space="preserve">Base information will appear below if you choose "other" as the rate type. </t>
        </r>
      </text>
    </comment>
    <comment ref="A251" authorId="0" shapeId="0">
      <text>
        <r>
          <rPr>
            <b/>
            <sz val="9"/>
            <color indexed="81"/>
            <rFont val="Tahoma"/>
            <family val="2"/>
          </rPr>
          <t xml:space="preserve">If Rate type is "other" and base type is "custom" unhide row 236 to create a custom base. </t>
        </r>
      </text>
    </comment>
    <comment ref="J251" authorId="0" shapeId="0">
      <text>
        <r>
          <rPr>
            <b/>
            <sz val="9"/>
            <color indexed="81"/>
            <rFont val="Tahoma"/>
            <family val="2"/>
          </rPr>
          <t>Alyssa Bunn:</t>
        </r>
        <r>
          <rPr>
            <sz val="9"/>
            <color indexed="81"/>
            <rFont val="Tahoma"/>
            <family val="2"/>
          </rPr>
          <t xml:space="preserve">
If Rate type is "other" and base type is "custom" unhide row 236 to create a custom base.  </t>
        </r>
      </text>
    </comment>
  </commentList>
</comments>
</file>

<file path=xl/sharedStrings.xml><?xml version="1.0" encoding="utf-8"?>
<sst xmlns="http://schemas.openxmlformats.org/spreadsheetml/2006/main" count="751" uniqueCount="281">
  <si>
    <t>Project Information</t>
  </si>
  <si>
    <t>Start Date:</t>
  </si>
  <si>
    <t>End Date:</t>
  </si>
  <si>
    <t>Reference Information</t>
  </si>
  <si>
    <t>Total Salaries</t>
  </si>
  <si>
    <t>Total Benefits</t>
  </si>
  <si>
    <t>PI(s):</t>
  </si>
  <si>
    <t>Year 1</t>
  </si>
  <si>
    <t>Year 2</t>
  </si>
  <si>
    <t>Year 3</t>
  </si>
  <si>
    <t>Year 5</t>
  </si>
  <si>
    <t>Total</t>
  </si>
  <si>
    <t>Type</t>
  </si>
  <si>
    <t>B</t>
  </si>
  <si>
    <t>Benefits by Person</t>
  </si>
  <si>
    <t>%</t>
  </si>
  <si>
    <t>Total Personnel</t>
  </si>
  <si>
    <t>Initial Fiscal Year:</t>
  </si>
  <si>
    <t>Year 4</t>
  </si>
  <si>
    <t>Project</t>
  </si>
  <si>
    <t>Months in Project Year:</t>
  </si>
  <si>
    <t>Months to fiscal Year:</t>
  </si>
  <si>
    <t>Remaining Months in PY:</t>
  </si>
  <si>
    <t>Current Fringe Rates</t>
  </si>
  <si>
    <t>14/15</t>
  </si>
  <si>
    <t>15/16</t>
  </si>
  <si>
    <t>17/18</t>
  </si>
  <si>
    <t>18/19</t>
  </si>
  <si>
    <t>19/20</t>
  </si>
  <si>
    <t>20/21</t>
  </si>
  <si>
    <t>21/22</t>
  </si>
  <si>
    <t>22/23</t>
  </si>
  <si>
    <t>23/24</t>
  </si>
  <si>
    <t>24/25</t>
  </si>
  <si>
    <t>16/17</t>
  </si>
  <si>
    <t>Project Fringe Rates</t>
  </si>
  <si>
    <t>Rate 1</t>
  </si>
  <si>
    <t>Rate 2</t>
  </si>
  <si>
    <t xml:space="preserve">Next Fiscal Year Date: </t>
  </si>
  <si>
    <t>Months at Rate 2:</t>
  </si>
  <si>
    <t>Months at Rate1:</t>
  </si>
  <si>
    <t>Choose</t>
  </si>
  <si>
    <t>SMR Before FY:</t>
  </si>
  <si>
    <t>SMR After FY:</t>
  </si>
  <si>
    <t>Short Year Summer1:</t>
  </si>
  <si>
    <t>Short Year Summer2:</t>
  </si>
  <si>
    <t>Escalation:</t>
  </si>
  <si>
    <t>Todays Date</t>
  </si>
  <si>
    <t>Months till Next FY</t>
  </si>
  <si>
    <t>Current FY</t>
  </si>
  <si>
    <t>Next FY Date</t>
  </si>
  <si>
    <t>Months till start</t>
  </si>
  <si>
    <t># of fiscal years till start</t>
  </si>
  <si>
    <t>/12</t>
  </si>
  <si>
    <t>Total Travel</t>
  </si>
  <si>
    <t>Subaward Costs</t>
  </si>
  <si>
    <t>Total Subaward Costs</t>
  </si>
  <si>
    <t>Other Expenses</t>
  </si>
  <si>
    <t>Resident</t>
  </si>
  <si>
    <t>Non-Resident</t>
  </si>
  <si>
    <t>GSR Tuition/Fees</t>
  </si>
  <si>
    <t>Total Other Direct Costs</t>
  </si>
  <si>
    <t>Total Direct Costs</t>
  </si>
  <si>
    <t>Indirect Cost Base</t>
  </si>
  <si>
    <t>Indirect Costs</t>
  </si>
  <si>
    <t>Total Costs (Direct + Indirect)</t>
  </si>
  <si>
    <t>Rate Type:</t>
  </si>
  <si>
    <t>Indirect Rates</t>
  </si>
  <si>
    <t>On-Campus Research</t>
  </si>
  <si>
    <t>Off-Campus Research</t>
  </si>
  <si>
    <t>On-Campus Other Sponsored Activities</t>
  </si>
  <si>
    <t>Off-Campus Other Sponsored Activities</t>
  </si>
  <si>
    <t>Instruction</t>
  </si>
  <si>
    <t>Primate Center Federal</t>
  </si>
  <si>
    <t>Primate Center Non-Federal</t>
  </si>
  <si>
    <t>Other:</t>
  </si>
  <si>
    <t>Current Indirect Cost Rates</t>
  </si>
  <si>
    <t>Base Type:</t>
  </si>
  <si>
    <t>MTDC</t>
  </si>
  <si>
    <r>
      <t xml:space="preserve">Other: </t>
    </r>
    <r>
      <rPr>
        <sz val="11"/>
        <color rgb="FFFF0000"/>
        <rFont val="Cambria"/>
        <family val="1"/>
      </rPr>
      <t>(Enter Info Below)</t>
    </r>
  </si>
  <si>
    <t>Rate (%):</t>
  </si>
  <si>
    <t>Custom Indirect Cost Base</t>
  </si>
  <si>
    <t xml:space="preserve">Create a Custom base formula: </t>
  </si>
  <si>
    <t>Next Academic Year:</t>
  </si>
  <si>
    <t>Months till Next AY</t>
  </si>
  <si>
    <t>Months till Start</t>
  </si>
  <si>
    <t># of AY till Start</t>
  </si>
  <si>
    <t>Rates Used</t>
  </si>
  <si>
    <t>Rates as Shown</t>
  </si>
  <si>
    <t>Subaward Totals</t>
  </si>
  <si>
    <t>UC?</t>
  </si>
  <si>
    <t>Total:</t>
  </si>
  <si>
    <t>Subaward Subject to Indirect MTDC</t>
  </si>
  <si>
    <t>Subaward Subject to Indirect TC/TDC</t>
  </si>
  <si>
    <t>TDC</t>
  </si>
  <si>
    <t>TC</t>
  </si>
  <si>
    <t>Type:</t>
  </si>
  <si>
    <t>Academic months 1:</t>
  </si>
  <si>
    <t>Academic months 2:</t>
  </si>
  <si>
    <t>AY1 with Short Years:</t>
  </si>
  <si>
    <t>AY2 with Short Years:</t>
  </si>
  <si>
    <t>Graduate Student Fee Escalations</t>
  </si>
  <si>
    <t>Rate 3</t>
  </si>
  <si>
    <t>Rate 4</t>
  </si>
  <si>
    <t>Rate 5</t>
  </si>
  <si>
    <t>Rate 6</t>
  </si>
  <si>
    <t>Faculty Summer Salary-Shown</t>
  </si>
  <si>
    <t>Faculty Summer Salary-Rate Split</t>
  </si>
  <si>
    <t>Faculty Summer Rates</t>
  </si>
  <si>
    <t>Fringe Shown for Faculty Summer</t>
  </si>
  <si>
    <t>Faculty Summer $</t>
  </si>
  <si>
    <t>Indirect Cost Split for Sponsor Forms</t>
  </si>
  <si>
    <t>Escal</t>
  </si>
  <si>
    <t>Period 1</t>
  </si>
  <si>
    <t>Period 2</t>
  </si>
  <si>
    <t>Period 3</t>
  </si>
  <si>
    <t>Period 5</t>
  </si>
  <si>
    <t>Name/Role:</t>
  </si>
  <si>
    <t>Period 4</t>
  </si>
  <si>
    <t>International?</t>
  </si>
  <si>
    <t>F-SMRA</t>
  </si>
  <si>
    <t>F-SMRB</t>
  </si>
  <si>
    <t>F-SMRC</t>
  </si>
  <si>
    <t>Faculty Summer Available Months</t>
  </si>
  <si>
    <t>R1</t>
  </si>
  <si>
    <t>R2</t>
  </si>
  <si>
    <t>R1 Short:</t>
  </si>
  <si>
    <t>R2: Short</t>
  </si>
  <si>
    <t>R1: Short</t>
  </si>
  <si>
    <t>Yes</t>
  </si>
  <si>
    <t xml:space="preserve">Proposal Due Date/Archive: </t>
  </si>
  <si>
    <t>Escalations to fringe?</t>
  </si>
  <si>
    <t>Total Equipment</t>
  </si>
  <si>
    <t>P1</t>
  </si>
  <si>
    <t>P2</t>
  </si>
  <si>
    <t>P3</t>
  </si>
  <si>
    <t>P4</t>
  </si>
  <si>
    <t>P5</t>
  </si>
  <si>
    <t>#GSRs</t>
  </si>
  <si>
    <t>Name or Notes</t>
  </si>
  <si>
    <t xml:space="preserve">Rates </t>
  </si>
  <si>
    <t>Discount Y/N</t>
  </si>
  <si>
    <t>Tuition Months available</t>
  </si>
  <si>
    <t>Quarters Available</t>
  </si>
  <si>
    <t>Salary</t>
  </si>
  <si>
    <t>Project Period % Effort</t>
  </si>
  <si>
    <t>Per 1</t>
  </si>
  <si>
    <t>Per 2</t>
  </si>
  <si>
    <t>Per 3</t>
  </si>
  <si>
    <t>Per4</t>
  </si>
  <si>
    <t>Per5</t>
  </si>
  <si>
    <t>Personnel (For Reference)</t>
  </si>
  <si>
    <t>Summer Fringe Benefits Split (For SPO/Calc Check)
(Months) Fringe Rate</t>
  </si>
  <si>
    <t>FY Split:</t>
  </si>
  <si>
    <t>Salary Basis</t>
  </si>
  <si>
    <t>Use Buydown</t>
  </si>
  <si>
    <t>Other</t>
  </si>
  <si>
    <t>Faculty Base Salary- 12 months</t>
  </si>
  <si>
    <t>Faculty Base Salary- 11 months</t>
  </si>
  <si>
    <t>Faculty Base Salary- 9 months</t>
  </si>
  <si>
    <t>*</t>
  </si>
  <si>
    <t>Total Direct Cost for NIH Limit (when limit does not include subaward indirect costs)</t>
  </si>
  <si>
    <t>Title:</t>
  </si>
  <si>
    <t xml:space="preserve">Total Subaward Indirect Costs: </t>
  </si>
  <si>
    <t>Type of Subaward</t>
  </si>
  <si>
    <t>Total Domestic Travel</t>
  </si>
  <si>
    <t>Total International Travel</t>
  </si>
  <si>
    <t>No</t>
  </si>
  <si>
    <t>Total Graduate Students</t>
  </si>
  <si>
    <t>Total Undergraduate Students</t>
  </si>
  <si>
    <t>Total Clerical</t>
  </si>
  <si>
    <t>Postdoctoral Associates</t>
  </si>
  <si>
    <t>Grants.gov Other Personnel Composite Categories</t>
  </si>
  <si>
    <t>Personnel Type? (Choose Below)</t>
  </si>
  <si>
    <t>Fringe</t>
  </si>
  <si>
    <t>Person Months in Each Category</t>
  </si>
  <si>
    <t>Fiscal Year Ranges for Split</t>
  </si>
  <si>
    <t>Project Period 1</t>
  </si>
  <si>
    <t>Project Period 2</t>
  </si>
  <si>
    <t>Project Period 3</t>
  </si>
  <si>
    <t>Project Period 4</t>
  </si>
  <si>
    <t>Project Period 5</t>
  </si>
  <si>
    <t>Request Budget</t>
  </si>
  <si>
    <t xml:space="preserve">Base  </t>
  </si>
  <si>
    <t>Primate Center Base</t>
  </si>
  <si>
    <t>Primate</t>
  </si>
  <si>
    <t>Total Indirect</t>
  </si>
  <si>
    <t>Total Annual Requested Indirect</t>
  </si>
  <si>
    <t>Annual Salary</t>
  </si>
  <si>
    <t>Primate Center Costs</t>
  </si>
  <si>
    <t>Senior/Key</t>
  </si>
  <si>
    <t>UC</t>
  </si>
  <si>
    <t>Non-UC</t>
  </si>
  <si>
    <t>AY</t>
  </si>
  <si>
    <t>On-Boarding- No Agreement</t>
  </si>
  <si>
    <t>Site Name or Notes</t>
  </si>
  <si>
    <t># per Period</t>
  </si>
  <si>
    <t>On-Boarding - Agreement</t>
  </si>
  <si>
    <t>Continuing Review</t>
  </si>
  <si>
    <t>IRB Fees</t>
  </si>
  <si>
    <t>$/per</t>
  </si>
  <si>
    <t>Materials and Supplies</t>
  </si>
  <si>
    <t>Publication Costs</t>
  </si>
  <si>
    <t>Total Publication Costs</t>
  </si>
  <si>
    <t>Trainee Tuition/Fees/Health Insurance:</t>
  </si>
  <si>
    <t>Stipends:</t>
  </si>
  <si>
    <t>Travel:</t>
  </si>
  <si>
    <t>Subsistence:</t>
  </si>
  <si>
    <t xml:space="preserve">Details/Notes: </t>
  </si>
  <si>
    <t>Consultant Services</t>
  </si>
  <si>
    <t>Total Consultant Services</t>
  </si>
  <si>
    <t>Single IRB Fees (NIH)</t>
  </si>
  <si>
    <t>Total Materials and Supplies</t>
  </si>
  <si>
    <r>
      <t xml:space="preserve">Recharge Type </t>
    </r>
    <r>
      <rPr>
        <b/>
        <sz val="9"/>
        <color rgb="FFC00000"/>
        <rFont val="Cambria"/>
        <family val="1"/>
      </rPr>
      <t>(Choose:)</t>
    </r>
  </si>
  <si>
    <t>Other Expenses Subject to Indirect:</t>
  </si>
  <si>
    <t>PERSONNEL</t>
  </si>
  <si>
    <t>EQUIPMENT</t>
  </si>
  <si>
    <t>TRAVEL</t>
  </si>
  <si>
    <t>OTHER DIRECT COSTS</t>
  </si>
  <si>
    <t>PARTICIPANT/TRAINEE SUPPORT COSTS</t>
  </si>
  <si>
    <t xml:space="preserve">Other Expenses Excluded from Indirect: </t>
  </si>
  <si>
    <t>Total Participant Support Costs</t>
  </si>
  <si>
    <t>25/26</t>
  </si>
  <si>
    <t>26/27</t>
  </si>
  <si>
    <t>27/28</t>
  </si>
  <si>
    <t>28/29</t>
  </si>
  <si>
    <t>30/31</t>
  </si>
  <si>
    <t>Esc/Rates</t>
  </si>
  <si>
    <t xml:space="preserve">Available Tuition Months (based on project dates): </t>
  </si>
  <si>
    <t>Choose Rate Type from Dropdown Below:</t>
  </si>
  <si>
    <t>Academic Year Rate Split:</t>
  </si>
  <si>
    <t>Summer</t>
  </si>
  <si>
    <t>Base</t>
  </si>
  <si>
    <t xml:space="preserve">Total </t>
  </si>
  <si>
    <t>Federal</t>
  </si>
  <si>
    <t>Salary plus Fringe by Person</t>
  </si>
  <si>
    <t>Salary Basis and Type</t>
  </si>
  <si>
    <t>CAL 12/12</t>
  </si>
  <si>
    <t>Appointment Type/Basis</t>
  </si>
  <si>
    <r>
      <t xml:space="preserve"> Base Salary (For agency forms)
</t>
    </r>
    <r>
      <rPr>
        <b/>
        <sz val="8"/>
        <color rgb="FFFF0000"/>
        <rFont val="Cambria"/>
        <family val="1"/>
      </rPr>
      <t>Based on Request Column F for AY and SMR; Request Column H for CAL
Salary below includes pre-escalation when using FY escalations</t>
    </r>
  </si>
  <si>
    <r>
      <t xml:space="preserve">Person Months (For agency forms)
</t>
    </r>
    <r>
      <rPr>
        <b/>
        <sz val="8"/>
        <color rgb="FFFF0000"/>
        <rFont val="Cambria"/>
        <family val="1"/>
      </rPr>
      <t>APPT TYPE and BASIS (9/12,11/12,12/12) must be correctly indicated on the request sheet to ensure person month accuracy</t>
    </r>
  </si>
  <si>
    <t xml:space="preserve"> </t>
  </si>
  <si>
    <t>29/30</t>
  </si>
  <si>
    <t xml:space="preserve">Start Date:  </t>
  </si>
  <si>
    <t>Base/AY</t>
  </si>
  <si>
    <t>Fed Rates</t>
  </si>
  <si>
    <t>UCPath CBR Group</t>
  </si>
  <si>
    <t xml:space="preserve"> (ANR) Acad &amp; Management</t>
  </si>
  <si>
    <t xml:space="preserve"> (ANR) Staff Exempt</t>
  </si>
  <si>
    <t xml:space="preserve"> (ANR) Staff Non-Exempt</t>
  </si>
  <si>
    <t xml:space="preserve"> (ANR) Postdocs</t>
  </si>
  <si>
    <t xml:space="preserve"> (ANR) Grad and Undergrad</t>
  </si>
  <si>
    <t xml:space="preserve"> (ANR) Limited Term</t>
  </si>
  <si>
    <t xml:space="preserve"> Faculty Summer-A</t>
  </si>
  <si>
    <t xml:space="preserve"> Faculty Summer-B</t>
  </si>
  <si>
    <t xml:space="preserve"> Faculty Summer-C</t>
  </si>
  <si>
    <t>FY</t>
  </si>
  <si>
    <t>CBR Add-on</t>
  </si>
  <si>
    <t>Subject to IDC Calc (MTDC)?</t>
  </si>
  <si>
    <t xml:space="preserve"> HCOMP Faculty &amp; SMG (A)</t>
  </si>
  <si>
    <t xml:space="preserve"> HCOMP Faculty &amp; SMG (B)</t>
  </si>
  <si>
    <t xml:space="preserve"> Nurses and Physicians (B)</t>
  </si>
  <si>
    <t xml:space="preserve"> Faculty, Acad, MSP, Safety (C )</t>
  </si>
  <si>
    <t xml:space="preserve"> All Other Staff (D)</t>
  </si>
  <si>
    <t xml:space="preserve"> Service Staff (E )</t>
  </si>
  <si>
    <t xml:space="preserve"> Postdoc Employees (F )</t>
  </si>
  <si>
    <t xml:space="preserve"> Grad and Undergrad (G )</t>
  </si>
  <si>
    <t xml:space="preserve"> No Benefit Eligibility (I)</t>
  </si>
  <si>
    <t xml:space="preserve"> Limited Benefits (H)</t>
  </si>
  <si>
    <t xml:space="preserve"> Faculty Summer (F)</t>
  </si>
  <si>
    <t>Include CBR Add-On?</t>
  </si>
  <si>
    <t>Updated 05/09/19</t>
  </si>
  <si>
    <t>Multi</t>
  </si>
  <si>
    <t>12 Months</t>
  </si>
  <si>
    <t>Non-NIH</t>
  </si>
  <si>
    <t>Malaria Project with UK</t>
  </si>
  <si>
    <t>L.B. Jeffries</t>
  </si>
  <si>
    <t>Jeffries - PI (AY)</t>
  </si>
  <si>
    <t>Jeffries - PI (Summer)</t>
  </si>
  <si>
    <t>AY 9/12</t>
  </si>
  <si>
    <t>SMR 9/12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</si>
</sst>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$&quot;#,##0"/>
    <numFmt numFmtId="167" formatCode="_(* #,##0.000_);_(* \(#,##0.000\);_(* &quot;-&quot;??_);_(@_)"/>
    <numFmt numFmtId="168" formatCode="0.0%"/>
    <numFmt numFmtId="169" formatCode="_(* #,##0.0000_);_(* \(#,##0.0000\);_(* &quot;-&quot;??_);_(@_)"/>
    <numFmt numFmtId="170" formatCode="0.0000"/>
    <numFmt numFmtId="171" formatCode="_(* #,##0.0_);_(* \(#,##0.0\);_(* &quot;-&quot;?_);_(@_)"/>
    <numFmt numFmtId="172" formatCode="0.0000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i/>
      <sz val="11"/>
      <color theme="1"/>
      <name val="Cambria"/>
      <family val="1"/>
    </font>
    <font>
      <sz val="10"/>
      <name val="Arial"/>
      <family val="2"/>
    </font>
    <font>
      <b/>
      <sz val="9"/>
      <color theme="1"/>
      <name val="Cambria"/>
      <family val="1"/>
    </font>
    <font>
      <b/>
      <i/>
      <sz val="9"/>
      <color theme="1"/>
      <name val="Cambria"/>
      <family val="1"/>
    </font>
    <font>
      <b/>
      <sz val="9"/>
      <name val="Cambria"/>
      <family val="1"/>
    </font>
    <font>
      <sz val="11"/>
      <color rgb="FFFF0000"/>
      <name val="Cambria"/>
      <family val="1"/>
    </font>
    <font>
      <sz val="9"/>
      <color theme="1"/>
      <name val="Cambria"/>
      <family val="1"/>
    </font>
    <font>
      <sz val="9"/>
      <color theme="0"/>
      <name val="Cambria"/>
      <family val="1"/>
    </font>
    <font>
      <b/>
      <sz val="9"/>
      <color rgb="FFC00000"/>
      <name val="Cambria"/>
      <family val="1"/>
    </font>
    <font>
      <b/>
      <i/>
      <sz val="9"/>
      <name val="Cambria"/>
      <family val="1"/>
    </font>
    <font>
      <sz val="9"/>
      <name val="Cambria"/>
      <family val="1"/>
    </font>
    <font>
      <i/>
      <sz val="9"/>
      <color theme="1"/>
      <name val="Cambria"/>
      <family val="1"/>
    </font>
    <font>
      <b/>
      <sz val="9"/>
      <color rgb="FFFF0000"/>
      <name val="Cambria"/>
      <family val="1"/>
    </font>
    <font>
      <b/>
      <sz val="11"/>
      <color theme="5"/>
      <name val="Cambria"/>
      <family val="1"/>
    </font>
    <font>
      <i/>
      <sz val="11"/>
      <color theme="1"/>
      <name val="Cambria"/>
      <family val="1"/>
    </font>
    <font>
      <sz val="10"/>
      <name val="Arial"/>
      <family val="2"/>
    </font>
    <font>
      <b/>
      <sz val="9"/>
      <color indexed="81"/>
      <name val="Tahoma"/>
      <family val="2"/>
    </font>
    <font>
      <b/>
      <sz val="8"/>
      <color theme="1"/>
      <name val="Cambria"/>
      <family val="1"/>
    </font>
    <font>
      <sz val="9"/>
      <color indexed="81"/>
      <name val="Tahoma"/>
      <family val="2"/>
    </font>
    <font>
      <b/>
      <sz val="11"/>
      <color theme="5" tint="-0.249977111117893"/>
      <name val="Cambria"/>
      <family val="1"/>
    </font>
    <font>
      <b/>
      <sz val="8"/>
      <color indexed="81"/>
      <name val="Cambria"/>
      <family val="1"/>
    </font>
    <font>
      <b/>
      <sz val="9"/>
      <color theme="5" tint="-0.249977111117893"/>
      <name val="Cambria"/>
      <family val="1"/>
    </font>
    <font>
      <b/>
      <i/>
      <sz val="9"/>
      <color rgb="FFC00000"/>
      <name val="Cambria"/>
      <family val="1"/>
    </font>
    <font>
      <b/>
      <sz val="8"/>
      <name val="Cambria"/>
      <family val="1"/>
    </font>
    <font>
      <sz val="9"/>
      <color theme="1"/>
      <name val="Calibri"/>
      <family val="2"/>
      <scheme val="minor"/>
    </font>
    <font>
      <b/>
      <sz val="9"/>
      <color theme="8" tint="-0.249977111117893"/>
      <name val="Cambria"/>
      <family val="1"/>
    </font>
    <font>
      <b/>
      <i/>
      <sz val="9"/>
      <color theme="8" tint="-0.249977111117893"/>
      <name val="Cambria"/>
      <family val="1"/>
    </font>
    <font>
      <b/>
      <sz val="11"/>
      <color theme="4" tint="-0.499984740745262"/>
      <name val="Cambria"/>
      <family val="1"/>
    </font>
    <font>
      <b/>
      <sz val="11"/>
      <name val="Cambria"/>
      <family val="1"/>
    </font>
    <font>
      <i/>
      <sz val="11"/>
      <color theme="1"/>
      <name val="Calibri"/>
      <family val="2"/>
      <scheme val="minor"/>
    </font>
    <font>
      <b/>
      <i/>
      <sz val="9"/>
      <color theme="8" tint="-0.499984740745262"/>
      <name val="Cambria"/>
      <family val="1"/>
    </font>
    <font>
      <b/>
      <sz val="8"/>
      <color rgb="FFFF0000"/>
      <name val="Cambria"/>
      <family val="1"/>
    </font>
    <font>
      <sz val="11"/>
      <name val="Cambria"/>
      <family val="1"/>
    </font>
    <font>
      <b/>
      <sz val="11"/>
      <color theme="7" tint="0.59999389629810485"/>
      <name val="Cambria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F1F9"/>
        <bgColor indexed="64"/>
      </patternFill>
    </fill>
    <fill>
      <patternFill patternType="solid">
        <fgColor rgb="FFF2F7FC"/>
        <bgColor indexed="64"/>
      </patternFill>
    </fill>
    <fill>
      <patternFill patternType="solid">
        <fgColor theme="6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5" tint="-0.24994659260841701"/>
      </right>
      <top style="thin">
        <color indexed="64"/>
      </top>
      <bottom style="thin">
        <color indexed="64"/>
      </bottom>
      <diagonal/>
    </border>
    <border>
      <left style="medium">
        <color theme="5" tint="-0.24994659260841701"/>
      </left>
      <right/>
      <top style="thin">
        <color indexed="64"/>
      </top>
      <bottom style="thick">
        <color theme="5" tint="-0.24994659260841701"/>
      </bottom>
      <diagonal/>
    </border>
    <border>
      <left/>
      <right style="medium">
        <color theme="5" tint="-0.24994659260841701"/>
      </right>
      <top style="thin">
        <color indexed="64"/>
      </top>
      <bottom style="thick">
        <color theme="5" tint="-0.24994659260841701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547">
    <xf numFmtId="0" fontId="0" fillId="0" borderId="0" xfId="0"/>
    <xf numFmtId="0" fontId="2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horizontal="right"/>
    </xf>
    <xf numFmtId="0" fontId="2" fillId="2" borderId="4" xfId="0" applyFont="1" applyFill="1" applyBorder="1"/>
    <xf numFmtId="14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43" fontId="2" fillId="2" borderId="4" xfId="1" applyFont="1" applyFill="1" applyBorder="1" applyAlignment="1">
      <alignment horizontal="right"/>
    </xf>
    <xf numFmtId="2" fontId="2" fillId="2" borderId="4" xfId="1" applyNumberFormat="1" applyFont="1" applyFill="1" applyBorder="1" applyAlignment="1">
      <alignment horizontal="right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center"/>
    </xf>
    <xf numFmtId="2" fontId="2" fillId="2" borderId="0" xfId="0" applyNumberFormat="1" applyFont="1" applyFill="1"/>
    <xf numFmtId="14" fontId="2" fillId="2" borderId="0" xfId="0" applyNumberFormat="1" applyFont="1" applyFill="1" applyBorder="1" applyAlignment="1">
      <alignment horizontal="right"/>
    </xf>
    <xf numFmtId="43" fontId="2" fillId="2" borderId="4" xfId="0" applyNumberFormat="1" applyFont="1" applyFill="1" applyBorder="1" applyAlignment="1">
      <alignment horizontal="right"/>
    </xf>
    <xf numFmtId="43" fontId="2" fillId="2" borderId="4" xfId="1" applyNumberFormat="1" applyFont="1" applyFill="1" applyBorder="1" applyAlignment="1">
      <alignment horizontal="right"/>
    </xf>
    <xf numFmtId="43" fontId="2" fillId="2" borderId="0" xfId="0" applyNumberFormat="1" applyFont="1" applyFill="1"/>
    <xf numFmtId="0" fontId="2" fillId="2" borderId="4" xfId="0" applyFont="1" applyFill="1" applyBorder="1" applyAlignment="1">
      <alignment horizontal="center"/>
    </xf>
    <xf numFmtId="43" fontId="2" fillId="2" borderId="4" xfId="1" applyFont="1" applyFill="1" applyBorder="1" applyAlignment="1">
      <alignment horizontal="right" wrapText="1"/>
    </xf>
    <xf numFmtId="43" fontId="2" fillId="2" borderId="0" xfId="1" applyFont="1" applyFill="1" applyBorder="1"/>
    <xf numFmtId="0" fontId="2" fillId="2" borderId="0" xfId="0" applyFont="1" applyFill="1" applyBorder="1"/>
    <xf numFmtId="9" fontId="2" fillId="2" borderId="4" xfId="0" applyNumberFormat="1" applyFont="1" applyFill="1" applyBorder="1"/>
    <xf numFmtId="43" fontId="2" fillId="2" borderId="0" xfId="1" applyFont="1" applyFill="1" applyBorder="1" applyAlignment="1">
      <alignment horizontal="right"/>
    </xf>
    <xf numFmtId="14" fontId="2" fillId="2" borderId="9" xfId="0" applyNumberFormat="1" applyFont="1" applyFill="1" applyBorder="1" applyAlignment="1">
      <alignment horizontal="right"/>
    </xf>
    <xf numFmtId="14" fontId="2" fillId="2" borderId="15" xfId="0" applyNumberFormat="1" applyFont="1" applyFill="1" applyBorder="1" applyAlignment="1">
      <alignment horizontal="right"/>
    </xf>
    <xf numFmtId="14" fontId="2" fillId="2" borderId="7" xfId="0" applyNumberFormat="1" applyFont="1" applyFill="1" applyBorder="1" applyAlignment="1">
      <alignment horizontal="right"/>
    </xf>
    <xf numFmtId="14" fontId="2" fillId="2" borderId="11" xfId="0" applyNumberFormat="1" applyFont="1" applyFill="1" applyBorder="1" applyAlignment="1">
      <alignment horizontal="right"/>
    </xf>
    <xf numFmtId="14" fontId="2" fillId="2" borderId="12" xfId="0" applyNumberFormat="1" applyFont="1" applyFill="1" applyBorder="1" applyAlignment="1">
      <alignment horizontal="right"/>
    </xf>
    <xf numFmtId="14" fontId="2" fillId="2" borderId="13" xfId="0" applyNumberFormat="1" applyFont="1" applyFill="1" applyBorder="1" applyAlignment="1">
      <alignment horizontal="right"/>
    </xf>
    <xf numFmtId="14" fontId="2" fillId="2" borderId="6" xfId="0" applyNumberFormat="1" applyFont="1" applyFill="1" applyBorder="1" applyAlignment="1">
      <alignment horizontal="right"/>
    </xf>
    <xf numFmtId="14" fontId="2" fillId="2" borderId="10" xfId="0" applyNumberFormat="1" applyFont="1" applyFill="1" applyBorder="1" applyAlignment="1">
      <alignment horizontal="right"/>
    </xf>
    <xf numFmtId="9" fontId="2" fillId="2" borderId="4" xfId="2" applyFont="1" applyFill="1" applyBorder="1"/>
    <xf numFmtId="9" fontId="2" fillId="2" borderId="0" xfId="2" applyFont="1" applyFill="1"/>
    <xf numFmtId="0" fontId="10" fillId="2" borderId="0" xfId="0" applyFont="1" applyFill="1"/>
    <xf numFmtId="0" fontId="2" fillId="2" borderId="4" xfId="0" applyFont="1" applyFill="1" applyBorder="1" applyAlignment="1">
      <alignment horizontal="left"/>
    </xf>
    <xf numFmtId="164" fontId="2" fillId="2" borderId="4" xfId="1" applyNumberFormat="1" applyFont="1" applyFill="1" applyBorder="1"/>
    <xf numFmtId="164" fontId="2" fillId="2" borderId="4" xfId="0" applyNumberFormat="1" applyFont="1" applyFill="1" applyBorder="1"/>
    <xf numFmtId="0" fontId="3" fillId="2" borderId="0" xfId="0" applyFont="1" applyFill="1" applyBorder="1" applyAlignment="1">
      <alignment horizontal="right"/>
    </xf>
    <xf numFmtId="164" fontId="2" fillId="2" borderId="0" xfId="1" applyNumberFormat="1" applyFont="1" applyFill="1" applyBorder="1"/>
    <xf numFmtId="0" fontId="2" fillId="2" borderId="8" xfId="0" applyFont="1" applyFill="1" applyBorder="1"/>
    <xf numFmtId="0" fontId="2" fillId="2" borderId="14" xfId="0" applyFont="1" applyFill="1" applyBorder="1"/>
    <xf numFmtId="0" fontId="2" fillId="2" borderId="5" xfId="0" applyFont="1" applyFill="1" applyBorder="1"/>
    <xf numFmtId="14" fontId="10" fillId="2" borderId="0" xfId="0" applyNumberFormat="1" applyFont="1" applyFill="1"/>
    <xf numFmtId="0" fontId="10" fillId="4" borderId="2" xfId="0" applyFont="1" applyFill="1" applyBorder="1"/>
    <xf numFmtId="0" fontId="6" fillId="4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164" fontId="6" fillId="2" borderId="0" xfId="1" applyNumberFormat="1" applyFont="1" applyFill="1" applyBorder="1"/>
    <xf numFmtId="0" fontId="14" fillId="4" borderId="2" xfId="0" applyFont="1" applyFill="1" applyBorder="1"/>
    <xf numFmtId="0" fontId="10" fillId="4" borderId="3" xfId="0" applyFont="1" applyFill="1" applyBorder="1"/>
    <xf numFmtId="0" fontId="7" fillId="4" borderId="1" xfId="0" applyFont="1" applyFill="1" applyBorder="1"/>
    <xf numFmtId="0" fontId="10" fillId="4" borderId="2" xfId="0" applyFont="1" applyFill="1" applyBorder="1" applyAlignment="1"/>
    <xf numFmtId="0" fontId="10" fillId="2" borderId="15" xfId="0" applyFont="1" applyFill="1" applyBorder="1"/>
    <xf numFmtId="0" fontId="7" fillId="2" borderId="1" xfId="0" applyFont="1" applyFill="1" applyBorder="1"/>
    <xf numFmtId="37" fontId="10" fillId="2" borderId="4" xfId="1" applyNumberFormat="1" applyFont="1" applyFill="1" applyBorder="1"/>
    <xf numFmtId="37" fontId="15" fillId="2" borderId="3" xfId="0" applyNumberFormat="1" applyFont="1" applyFill="1" applyBorder="1"/>
    <xf numFmtId="0" fontId="10" fillId="4" borderId="6" xfId="0" applyFont="1" applyFill="1" applyBorder="1"/>
    <xf numFmtId="0" fontId="10" fillId="4" borderId="10" xfId="0" applyFont="1" applyFill="1" applyBorder="1"/>
    <xf numFmtId="166" fontId="6" fillId="4" borderId="4" xfId="4" applyNumberFormat="1" applyFont="1" applyFill="1" applyBorder="1"/>
    <xf numFmtId="0" fontId="2" fillId="2" borderId="0" xfId="0" applyFont="1" applyFill="1" applyBorder="1" applyAlignment="1">
      <alignment horizontal="right"/>
    </xf>
    <xf numFmtId="43" fontId="2" fillId="2" borderId="4" xfId="1" applyFont="1" applyFill="1" applyBorder="1"/>
    <xf numFmtId="0" fontId="17" fillId="2" borderId="4" xfId="0" applyFont="1" applyFill="1" applyBorder="1" applyAlignment="1">
      <alignment horizontal="right"/>
    </xf>
    <xf numFmtId="14" fontId="17" fillId="2" borderId="4" xfId="0" applyNumberFormat="1" applyFont="1" applyFill="1" applyBorder="1" applyAlignment="1">
      <alignment horizontal="right"/>
    </xf>
    <xf numFmtId="43" fontId="17" fillId="2" borderId="4" xfId="1" applyFont="1" applyFill="1" applyBorder="1" applyAlignment="1">
      <alignment horizontal="right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165" fontId="2" fillId="2" borderId="0" xfId="0" applyNumberFormat="1" applyFont="1" applyFill="1"/>
    <xf numFmtId="0" fontId="2" fillId="2" borderId="4" xfId="0" applyFont="1" applyFill="1" applyBorder="1" applyAlignment="1">
      <alignment vertical="center"/>
    </xf>
    <xf numFmtId="0" fontId="4" fillId="2" borderId="4" xfId="0" applyFont="1" applyFill="1" applyBorder="1"/>
    <xf numFmtId="0" fontId="2" fillId="2" borderId="0" xfId="0" applyFont="1" applyFill="1" applyBorder="1" applyAlignment="1">
      <alignment vertical="center"/>
    </xf>
    <xf numFmtId="0" fontId="18" fillId="2" borderId="4" xfId="0" applyFont="1" applyFill="1" applyBorder="1"/>
    <xf numFmtId="167" fontId="3" fillId="2" borderId="4" xfId="1" applyNumberFormat="1" applyFont="1" applyFill="1" applyBorder="1" applyAlignment="1"/>
    <xf numFmtId="37" fontId="10" fillId="2" borderId="4" xfId="0" applyNumberFormat="1" applyFont="1" applyFill="1" applyBorder="1"/>
    <xf numFmtId="3" fontId="10" fillId="2" borderId="4" xfId="0" applyNumberFormat="1" applyFont="1" applyFill="1" applyBorder="1"/>
    <xf numFmtId="3" fontId="14" fillId="4" borderId="4" xfId="0" applyNumberFormat="1" applyFont="1" applyFill="1" applyBorder="1"/>
    <xf numFmtId="37" fontId="8" fillId="4" borderId="4" xfId="0" applyNumberFormat="1" applyFont="1" applyFill="1" applyBorder="1"/>
    <xf numFmtId="3" fontId="10" fillId="2" borderId="4" xfId="1" applyNumberFormat="1" applyFont="1" applyFill="1" applyBorder="1"/>
    <xf numFmtId="0" fontId="6" fillId="2" borderId="11" xfId="0" applyFont="1" applyFill="1" applyBorder="1" applyAlignment="1">
      <alignment horizontal="left"/>
    </xf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4" fontId="10" fillId="2" borderId="1" xfId="1" applyNumberFormat="1" applyFont="1" applyFill="1" applyBorder="1" applyAlignment="1"/>
    <xf numFmtId="3" fontId="15" fillId="2" borderId="4" xfId="0" applyNumberFormat="1" applyFont="1" applyFill="1" applyBorder="1"/>
    <xf numFmtId="0" fontId="13" fillId="4" borderId="1" xfId="0" applyFont="1" applyFill="1" applyBorder="1" applyAlignment="1"/>
    <xf numFmtId="0" fontId="13" fillId="4" borderId="2" xfId="0" applyFont="1" applyFill="1" applyBorder="1" applyAlignment="1"/>
    <xf numFmtId="0" fontId="8" fillId="4" borderId="4" xfId="0" applyFont="1" applyFill="1" applyBorder="1" applyAlignment="1">
      <alignment horizontal="center"/>
    </xf>
    <xf numFmtId="14" fontId="2" fillId="2" borderId="4" xfId="1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43" fontId="2" fillId="2" borderId="4" xfId="0" applyNumberFormat="1" applyFont="1" applyFill="1" applyBorder="1"/>
    <xf numFmtId="0" fontId="2" fillId="2" borderId="0" xfId="0" applyFont="1" applyFill="1" applyBorder="1" applyAlignment="1">
      <alignment horizontal="left" vertical="center"/>
    </xf>
    <xf numFmtId="0" fontId="23" fillId="2" borderId="4" xfId="0" applyFont="1" applyFill="1" applyBorder="1"/>
    <xf numFmtId="9" fontId="6" fillId="4" borderId="5" xfId="0" applyNumberFormat="1" applyFont="1" applyFill="1" applyBorder="1" applyAlignment="1">
      <alignment horizontal="center"/>
    </xf>
    <xf numFmtId="169" fontId="2" fillId="2" borderId="4" xfId="1" applyNumberFormat="1" applyFont="1" applyFill="1" applyBorder="1" applyAlignment="1">
      <alignment horizontal="right"/>
    </xf>
    <xf numFmtId="168" fontId="2" fillId="2" borderId="4" xfId="2" applyNumberFormat="1" applyFont="1" applyFill="1" applyBorder="1"/>
    <xf numFmtId="0" fontId="10" fillId="2" borderId="3" xfId="0" applyFont="1" applyFill="1" applyBorder="1" applyAlignment="1">
      <alignment horizontal="left"/>
    </xf>
    <xf numFmtId="0" fontId="6" fillId="4" borderId="2" xfId="0" applyFont="1" applyFill="1" applyBorder="1"/>
    <xf numFmtId="0" fontId="6" fillId="3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70" fontId="3" fillId="2" borderId="4" xfId="0" applyNumberFormat="1" applyFont="1" applyFill="1" applyBorder="1" applyAlignment="1">
      <alignment horizontal="right"/>
    </xf>
    <xf numFmtId="164" fontId="10" fillId="2" borderId="2" xfId="0" applyNumberFormat="1" applyFont="1" applyFill="1" applyBorder="1" applyAlignment="1"/>
    <xf numFmtId="164" fontId="10" fillId="2" borderId="3" xfId="0" applyNumberFormat="1" applyFont="1" applyFill="1" applyBorder="1" applyAlignment="1"/>
    <xf numFmtId="0" fontId="0" fillId="2" borderId="0" xfId="0" applyFill="1"/>
    <xf numFmtId="43" fontId="10" fillId="2" borderId="4" xfId="1" applyFont="1" applyFill="1" applyBorder="1"/>
    <xf numFmtId="0" fontId="6" fillId="2" borderId="4" xfId="0" applyFont="1" applyFill="1" applyBorder="1" applyAlignment="1">
      <alignment horizontal="left"/>
    </xf>
    <xf numFmtId="0" fontId="28" fillId="2" borderId="0" xfId="0" applyFont="1" applyFill="1"/>
    <xf numFmtId="165" fontId="2" fillId="2" borderId="4" xfId="0" applyNumberFormat="1" applyFont="1" applyFill="1" applyBorder="1"/>
    <xf numFmtId="0" fontId="6" fillId="6" borderId="4" xfId="0" applyFont="1" applyFill="1" applyBorder="1" applyAlignment="1">
      <alignment horizontal="center" wrapText="1"/>
    </xf>
    <xf numFmtId="0" fontId="6" fillId="7" borderId="4" xfId="0" applyFont="1" applyFill="1" applyBorder="1" applyAlignment="1">
      <alignment horizontal="center" wrapText="1"/>
    </xf>
    <xf numFmtId="0" fontId="6" fillId="8" borderId="4" xfId="0" applyFont="1" applyFill="1" applyBorder="1" applyAlignment="1">
      <alignment horizontal="center" wrapText="1"/>
    </xf>
    <xf numFmtId="166" fontId="29" fillId="2" borderId="4" xfId="4" applyNumberFormat="1" applyFont="1" applyFill="1" applyBorder="1"/>
    <xf numFmtId="166" fontId="30" fillId="2" borderId="4" xfId="4" applyNumberFormat="1" applyFont="1" applyFill="1" applyBorder="1"/>
    <xf numFmtId="164" fontId="10" fillId="2" borderId="0" xfId="0" applyNumberFormat="1" applyFont="1" applyFill="1" applyBorder="1" applyAlignment="1"/>
    <xf numFmtId="0" fontId="6" fillId="2" borderId="0" xfId="0" applyFont="1" applyFill="1" applyBorder="1" applyAlignment="1">
      <alignment horizontal="center"/>
    </xf>
    <xf numFmtId="164" fontId="10" fillId="2" borderId="0" xfId="1" applyNumberFormat="1" applyFont="1" applyFill="1" applyBorder="1" applyAlignment="1"/>
    <xf numFmtId="164" fontId="10" fillId="2" borderId="0" xfId="1" applyNumberFormat="1" applyFont="1" applyFill="1" applyBorder="1" applyAlignment="1">
      <alignment horizontal="center"/>
    </xf>
    <xf numFmtId="43" fontId="10" fillId="2" borderId="0" xfId="1" applyFont="1" applyFill="1" applyBorder="1"/>
    <xf numFmtId="0" fontId="10" fillId="2" borderId="0" xfId="0" applyFont="1" applyFill="1" applyBorder="1" applyAlignment="1">
      <alignment horizontal="center"/>
    </xf>
    <xf numFmtId="43" fontId="10" fillId="2" borderId="1" xfId="1" applyNumberFormat="1" applyFont="1" applyFill="1" applyBorder="1" applyAlignment="1"/>
    <xf numFmtId="43" fontId="6" fillId="6" borderId="4" xfId="0" applyNumberFormat="1" applyFont="1" applyFill="1" applyBorder="1" applyAlignment="1">
      <alignment horizontal="center"/>
    </xf>
    <xf numFmtId="164" fontId="0" fillId="2" borderId="0" xfId="0" applyNumberFormat="1" applyFill="1"/>
    <xf numFmtId="0" fontId="3" fillId="2" borderId="4" xfId="0" applyFont="1" applyFill="1" applyBorder="1" applyAlignment="1">
      <alignment horizontal="right"/>
    </xf>
    <xf numFmtId="0" fontId="14" fillId="5" borderId="2" xfId="0" applyFont="1" applyFill="1" applyBorder="1"/>
    <xf numFmtId="3" fontId="8" fillId="5" borderId="4" xfId="0" applyNumberFormat="1" applyFont="1" applyFill="1" applyBorder="1"/>
    <xf numFmtId="37" fontId="13" fillId="5" borderId="4" xfId="0" applyNumberFormat="1" applyFont="1" applyFill="1" applyBorder="1"/>
    <xf numFmtId="37" fontId="13" fillId="9" borderId="4" xfId="0" applyNumberFormat="1" applyFont="1" applyFill="1" applyBorder="1"/>
    <xf numFmtId="37" fontId="8" fillId="5" borderId="4" xfId="0" applyNumberFormat="1" applyFont="1" applyFill="1" applyBorder="1"/>
    <xf numFmtId="0" fontId="14" fillId="5" borderId="1" xfId="0" applyFont="1" applyFill="1" applyBorder="1"/>
    <xf numFmtId="0" fontId="14" fillId="5" borderId="3" xfId="0" applyFont="1" applyFill="1" applyBorder="1"/>
    <xf numFmtId="0" fontId="13" fillId="5" borderId="1" xfId="0" applyFont="1" applyFill="1" applyBorder="1" applyAlignment="1"/>
    <xf numFmtId="0" fontId="13" fillId="5" borderId="2" xfId="0" applyFont="1" applyFill="1" applyBorder="1" applyAlignment="1"/>
    <xf numFmtId="0" fontId="6" fillId="5" borderId="1" xfId="0" applyFont="1" applyFill="1" applyBorder="1"/>
    <xf numFmtId="0" fontId="10" fillId="5" borderId="2" xfId="0" applyFont="1" applyFill="1" applyBorder="1"/>
    <xf numFmtId="0" fontId="10" fillId="5" borderId="3" xfId="0" applyFont="1" applyFill="1" applyBorder="1"/>
    <xf numFmtId="14" fontId="2" fillId="2" borderId="8" xfId="0" applyNumberFormat="1" applyFont="1" applyFill="1" applyBorder="1" applyAlignment="1">
      <alignment horizontal="right"/>
    </xf>
    <xf numFmtId="14" fontId="2" fillId="2" borderId="14" xfId="0" applyNumberFormat="1" applyFont="1" applyFill="1" applyBorder="1" applyAlignment="1">
      <alignment horizontal="right"/>
    </xf>
    <xf numFmtId="14" fontId="2" fillId="2" borderId="5" xfId="0" applyNumberFormat="1" applyFont="1" applyFill="1" applyBorder="1" applyAlignment="1">
      <alignment horizontal="right"/>
    </xf>
    <xf numFmtId="0" fontId="31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right"/>
    </xf>
    <xf numFmtId="168" fontId="2" fillId="2" borderId="14" xfId="0" applyNumberFormat="1" applyFont="1" applyFill="1" applyBorder="1" applyAlignment="1" applyProtection="1">
      <protection hidden="1"/>
    </xf>
    <xf numFmtId="168" fontId="2" fillId="2" borderId="12" xfId="0" applyNumberFormat="1" applyFont="1" applyFill="1" applyBorder="1" applyAlignment="1" applyProtection="1">
      <protection hidden="1"/>
    </xf>
    <xf numFmtId="164" fontId="2" fillId="2" borderId="14" xfId="0" applyNumberFormat="1" applyFont="1" applyFill="1" applyBorder="1" applyAlignment="1" applyProtection="1">
      <protection hidden="1"/>
    </xf>
    <xf numFmtId="164" fontId="18" fillId="2" borderId="12" xfId="0" applyNumberFormat="1" applyFont="1" applyFill="1" applyBorder="1" applyAlignment="1" applyProtection="1">
      <protection hidden="1"/>
    </xf>
    <xf numFmtId="0" fontId="2" fillId="2" borderId="5" xfId="0" applyFont="1" applyFill="1" applyBorder="1" applyAlignment="1">
      <alignment horizontal="right"/>
    </xf>
    <xf numFmtId="37" fontId="2" fillId="2" borderId="5" xfId="0" applyNumberFormat="1" applyFont="1" applyFill="1" applyBorder="1" applyAlignment="1" applyProtection="1">
      <protection hidden="1"/>
    </xf>
    <xf numFmtId="37" fontId="2" fillId="2" borderId="10" xfId="0" applyNumberFormat="1" applyFont="1" applyFill="1" applyBorder="1" applyAlignment="1" applyProtection="1">
      <protection hidden="1"/>
    </xf>
    <xf numFmtId="0" fontId="4" fillId="2" borderId="11" xfId="0" applyFont="1" applyFill="1" applyBorder="1" applyAlignment="1">
      <alignment horizontal="right"/>
    </xf>
    <xf numFmtId="164" fontId="18" fillId="2" borderId="12" xfId="1" applyNumberFormat="1" applyFont="1" applyFill="1" applyBorder="1" applyProtection="1">
      <protection hidden="1"/>
    </xf>
    <xf numFmtId="0" fontId="33" fillId="2" borderId="11" xfId="0" applyFont="1" applyFill="1" applyBorder="1" applyProtection="1">
      <protection hidden="1"/>
    </xf>
    <xf numFmtId="0" fontId="2" fillId="2" borderId="13" xfId="0" applyFont="1" applyFill="1" applyBorder="1" applyProtection="1">
      <protection hidden="1"/>
    </xf>
    <xf numFmtId="164" fontId="2" fillId="2" borderId="10" xfId="1" applyNumberFormat="1" applyFont="1" applyFill="1" applyBorder="1" applyProtection="1">
      <protection hidden="1"/>
    </xf>
    <xf numFmtId="0" fontId="3" fillId="2" borderId="1" xfId="0" applyFont="1" applyFill="1" applyBorder="1" applyProtection="1">
      <protection hidden="1"/>
    </xf>
    <xf numFmtId="164" fontId="3" fillId="2" borderId="3" xfId="1" applyNumberFormat="1" applyFont="1" applyFill="1" applyBorder="1" applyProtection="1">
      <protection hidden="1"/>
    </xf>
    <xf numFmtId="164" fontId="3" fillId="2" borderId="1" xfId="0" applyNumberFormat="1" applyFont="1" applyFill="1" applyBorder="1" applyProtection="1">
      <protection hidden="1"/>
    </xf>
    <xf numFmtId="0" fontId="6" fillId="4" borderId="1" xfId="0" applyFont="1" applyFill="1" applyBorder="1" applyAlignment="1" applyProtection="1">
      <alignment horizontal="center"/>
      <protection locked="0"/>
    </xf>
    <xf numFmtId="37" fontId="10" fillId="2" borderId="4" xfId="1" applyNumberFormat="1" applyFont="1" applyFill="1" applyBorder="1" applyProtection="1">
      <protection hidden="1"/>
    </xf>
    <xf numFmtId="3" fontId="10" fillId="2" borderId="4" xfId="1" applyNumberFormat="1" applyFont="1" applyFill="1" applyBorder="1" applyProtection="1">
      <protection hidden="1"/>
    </xf>
    <xf numFmtId="37" fontId="6" fillId="5" borderId="4" xfId="1" applyNumberFormat="1" applyFont="1" applyFill="1" applyBorder="1" applyProtection="1">
      <protection hidden="1"/>
    </xf>
    <xf numFmtId="0" fontId="10" fillId="2" borderId="4" xfId="0" applyFont="1" applyFill="1" applyBorder="1" applyAlignment="1" applyProtection="1">
      <alignment horizontal="center"/>
      <protection locked="0"/>
    </xf>
    <xf numFmtId="9" fontId="11" fillId="2" borderId="3" xfId="0" applyNumberFormat="1" applyFont="1" applyFill="1" applyBorder="1" applyProtection="1">
      <protection locked="0"/>
    </xf>
    <xf numFmtId="0" fontId="6" fillId="2" borderId="11" xfId="0" applyFont="1" applyFill="1" applyBorder="1" applyAlignment="1" applyProtection="1">
      <alignment horizontal="left"/>
      <protection locked="0"/>
    </xf>
    <xf numFmtId="164" fontId="10" fillId="2" borderId="2" xfId="0" applyNumberFormat="1" applyFont="1" applyFill="1" applyBorder="1" applyAlignment="1" applyProtection="1">
      <protection locked="0"/>
    </xf>
    <xf numFmtId="164" fontId="10" fillId="2" borderId="3" xfId="0" applyNumberFormat="1" applyFont="1" applyFill="1" applyBorder="1" applyAlignment="1" applyProtection="1"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  <protection hidden="1"/>
    </xf>
    <xf numFmtId="3" fontId="6" fillId="5" borderId="4" xfId="1" applyNumberFormat="1" applyFont="1" applyFill="1" applyBorder="1" applyProtection="1">
      <protection hidden="1"/>
    </xf>
    <xf numFmtId="3" fontId="6" fillId="4" borderId="4" xfId="1" applyNumberFormat="1" applyFont="1" applyFill="1" applyBorder="1" applyProtection="1">
      <protection hidden="1"/>
    </xf>
    <xf numFmtId="0" fontId="10" fillId="2" borderId="2" xfId="0" applyFont="1" applyFill="1" applyBorder="1" applyProtection="1">
      <protection locked="0"/>
    </xf>
    <xf numFmtId="3" fontId="10" fillId="2" borderId="4" xfId="0" applyNumberFormat="1" applyFont="1" applyFill="1" applyBorder="1" applyProtection="1">
      <protection locked="0"/>
    </xf>
    <xf numFmtId="37" fontId="10" fillId="2" borderId="4" xfId="1" applyNumberFormat="1" applyFont="1" applyFill="1" applyBorder="1" applyProtection="1">
      <protection locked="0"/>
    </xf>
    <xf numFmtId="37" fontId="10" fillId="2" borderId="4" xfId="0" applyNumberFormat="1" applyFont="1" applyFill="1" applyBorder="1" applyProtection="1">
      <protection locked="0"/>
    </xf>
    <xf numFmtId="9" fontId="10" fillId="2" borderId="3" xfId="0" applyNumberFormat="1" applyFont="1" applyFill="1" applyBorder="1" applyAlignment="1" applyProtection="1">
      <alignment horizontal="center"/>
      <protection locked="0"/>
    </xf>
    <xf numFmtId="0" fontId="10" fillId="2" borderId="4" xfId="0" applyFont="1" applyFill="1" applyBorder="1" applyProtection="1"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0" fontId="27" fillId="3" borderId="5" xfId="0" applyFont="1" applyFill="1" applyBorder="1" applyAlignment="1" applyProtection="1">
      <alignment horizontal="center"/>
      <protection locked="0"/>
    </xf>
    <xf numFmtId="0" fontId="10" fillId="4" borderId="2" xfId="0" applyFont="1" applyFill="1" applyBorder="1" applyProtection="1">
      <protection locked="0"/>
    </xf>
    <xf numFmtId="3" fontId="14" fillId="4" borderId="4" xfId="0" applyNumberFormat="1" applyFont="1" applyFill="1" applyBorder="1" applyProtection="1">
      <protection locked="0"/>
    </xf>
    <xf numFmtId="3" fontId="10" fillId="2" borderId="4" xfId="1" applyNumberFormat="1" applyFont="1" applyFill="1" applyBorder="1" applyProtection="1">
      <protection locked="0"/>
    </xf>
    <xf numFmtId="9" fontId="6" fillId="4" borderId="16" xfId="0" applyNumberFormat="1" applyFont="1" applyFill="1" applyBorder="1" applyAlignment="1" applyProtection="1">
      <alignment horizontal="center"/>
      <protection locked="0"/>
    </xf>
    <xf numFmtId="3" fontId="2" fillId="2" borderId="4" xfId="0" applyNumberFormat="1" applyFont="1" applyFill="1" applyBorder="1"/>
    <xf numFmtId="171" fontId="2" fillId="2" borderId="0" xfId="0" applyNumberFormat="1" applyFont="1" applyFill="1"/>
    <xf numFmtId="0" fontId="3" fillId="5" borderId="8" xfId="0" applyFont="1" applyFill="1" applyBorder="1" applyAlignment="1" applyProtection="1">
      <alignment horizontal="right" vertical="center" wrapText="1"/>
      <protection hidden="1"/>
    </xf>
    <xf numFmtId="0" fontId="32" fillId="5" borderId="7" xfId="0" applyFont="1" applyFill="1" applyBorder="1" applyAlignment="1" applyProtection="1">
      <alignment horizontal="right" vertical="center" wrapText="1"/>
      <protection hidden="1"/>
    </xf>
    <xf numFmtId="0" fontId="3" fillId="5" borderId="8" xfId="0" applyFont="1" applyFill="1" applyBorder="1" applyAlignment="1">
      <alignment horizontal="right" vertical="center"/>
    </xf>
    <xf numFmtId="43" fontId="6" fillId="2" borderId="4" xfId="1" applyNumberFormat="1" applyFont="1" applyFill="1" applyBorder="1" applyAlignment="1">
      <alignment horizontal="center"/>
    </xf>
    <xf numFmtId="0" fontId="10" fillId="2" borderId="3" xfId="0" applyFont="1" applyFill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left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10" fillId="2" borderId="11" xfId="0" applyFont="1" applyFill="1" applyBorder="1" applyProtection="1">
      <protection locked="0"/>
    </xf>
    <xf numFmtId="0" fontId="7" fillId="4" borderId="1" xfId="0" applyFont="1" applyFill="1" applyBorder="1" applyProtection="1">
      <protection locked="0"/>
    </xf>
    <xf numFmtId="0" fontId="10" fillId="2" borderId="15" xfId="0" applyFont="1" applyFill="1" applyBorder="1" applyProtection="1">
      <protection locked="0"/>
    </xf>
    <xf numFmtId="3" fontId="6" fillId="5" borderId="4" xfId="0" applyNumberFormat="1" applyFont="1" applyFill="1" applyBorder="1" applyProtection="1"/>
    <xf numFmtId="37" fontId="10" fillId="2" borderId="4" xfId="1" applyNumberFormat="1" applyFont="1" applyFill="1" applyBorder="1" applyProtection="1"/>
    <xf numFmtId="3" fontId="10" fillId="2" borderId="4" xfId="1" applyNumberFormat="1" applyFont="1" applyFill="1" applyBorder="1" applyProtection="1"/>
    <xf numFmtId="0" fontId="10" fillId="2" borderId="0" xfId="0" applyFont="1" applyFill="1" applyProtection="1"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0" fillId="2" borderId="6" xfId="0" applyFont="1" applyFill="1" applyBorder="1" applyProtection="1">
      <protection locked="0"/>
    </xf>
    <xf numFmtId="0" fontId="16" fillId="2" borderId="6" xfId="0" applyFont="1" applyFill="1" applyBorder="1" applyAlignment="1" applyProtection="1">
      <protection locked="0"/>
    </xf>
    <xf numFmtId="0" fontId="7" fillId="2" borderId="11" xfId="0" applyFont="1" applyFill="1" applyBorder="1" applyProtection="1">
      <protection locked="0"/>
    </xf>
    <xf numFmtId="0" fontId="7" fillId="2" borderId="13" xfId="0" applyFont="1" applyFill="1" applyBorder="1" applyProtection="1">
      <protection locked="0"/>
    </xf>
    <xf numFmtId="3" fontId="10" fillId="2" borderId="3" xfId="0" applyNumberFormat="1" applyFont="1" applyFill="1" applyBorder="1" applyProtection="1">
      <protection locked="0"/>
    </xf>
    <xf numFmtId="164" fontId="10" fillId="2" borderId="3" xfId="0" applyNumberFormat="1" applyFont="1" applyFill="1" applyBorder="1" applyAlignment="1" applyProtection="1">
      <alignment horizontal="center"/>
      <protection locked="0"/>
    </xf>
    <xf numFmtId="43" fontId="10" fillId="2" borderId="0" xfId="0" applyNumberFormat="1" applyFont="1" applyFill="1" applyProtection="1">
      <protection locked="0"/>
    </xf>
    <xf numFmtId="164" fontId="10" fillId="2" borderId="0" xfId="0" applyNumberFormat="1" applyFont="1" applyFill="1" applyProtection="1">
      <protection locked="0"/>
    </xf>
    <xf numFmtId="43" fontId="10" fillId="2" borderId="0" xfId="1" applyFont="1" applyFill="1" applyProtection="1">
      <protection locked="0"/>
    </xf>
    <xf numFmtId="37" fontId="10" fillId="2" borderId="0" xfId="0" applyNumberFormat="1" applyFont="1" applyFill="1" applyProtection="1">
      <protection locked="0"/>
    </xf>
    <xf numFmtId="3" fontId="10" fillId="2" borderId="0" xfId="0" applyNumberFormat="1" applyFont="1" applyFill="1" applyProtection="1">
      <protection locked="0"/>
    </xf>
    <xf numFmtId="0" fontId="6" fillId="2" borderId="0" xfId="0" applyFont="1" applyFill="1" applyBorder="1" applyProtection="1">
      <protection locked="0"/>
    </xf>
    <xf numFmtId="0" fontId="10" fillId="2" borderId="0" xfId="0" applyFont="1" applyFill="1" applyBorder="1" applyProtection="1">
      <protection locked="0"/>
    </xf>
    <xf numFmtId="166" fontId="6" fillId="2" borderId="0" xfId="4" applyNumberFormat="1" applyFont="1" applyFill="1" applyBorder="1" applyProtection="1">
      <protection locked="0"/>
    </xf>
    <xf numFmtId="164" fontId="10" fillId="2" borderId="0" xfId="1" applyNumberFormat="1" applyFont="1" applyFill="1" applyProtection="1">
      <protection locked="0"/>
    </xf>
    <xf numFmtId="0" fontId="6" fillId="2" borderId="12" xfId="0" applyFont="1" applyFill="1" applyBorder="1" applyAlignment="1"/>
    <xf numFmtId="0" fontId="6" fillId="2" borderId="10" xfId="0" applyFont="1" applyFill="1" applyBorder="1" applyAlignment="1"/>
    <xf numFmtId="37" fontId="14" fillId="2" borderId="4" xfId="1" applyNumberFormat="1" applyFont="1" applyFill="1" applyBorder="1" applyProtection="1"/>
    <xf numFmtId="0" fontId="7" fillId="2" borderId="0" xfId="0" applyFont="1" applyFill="1" applyProtection="1">
      <protection locked="0"/>
    </xf>
    <xf numFmtId="167" fontId="2" fillId="2" borderId="0" xfId="1" applyNumberFormat="1" applyFont="1" applyFill="1" applyBorder="1" applyAlignment="1">
      <alignment horizontal="right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167" fontId="10" fillId="2" borderId="0" xfId="1" applyNumberFormat="1" applyFont="1" applyFill="1" applyProtection="1">
      <protection locked="0"/>
    </xf>
    <xf numFmtId="0" fontId="2" fillId="2" borderId="4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left"/>
    </xf>
    <xf numFmtId="0" fontId="10" fillId="2" borderId="1" xfId="0" applyFont="1" applyFill="1" applyBorder="1" applyAlignment="1" applyProtection="1">
      <protection locked="0"/>
    </xf>
    <xf numFmtId="0" fontId="10" fillId="2" borderId="2" xfId="0" applyFont="1" applyFill="1" applyBorder="1" applyAlignment="1" applyProtection="1">
      <protection locked="0"/>
    </xf>
    <xf numFmtId="3" fontId="14" fillId="2" borderId="4" xfId="0" applyNumberFormat="1" applyFont="1" applyFill="1" applyBorder="1" applyProtection="1">
      <protection locked="0"/>
    </xf>
    <xf numFmtId="3" fontId="14" fillId="2" borderId="4" xfId="0" applyNumberFormat="1" applyFont="1" applyFill="1" applyBorder="1"/>
    <xf numFmtId="0" fontId="10" fillId="2" borderId="2" xfId="0" applyFont="1" applyFill="1" applyBorder="1"/>
    <xf numFmtId="0" fontId="10" fillId="2" borderId="3" xfId="0" applyFont="1" applyFill="1" applyBorder="1"/>
    <xf numFmtId="37" fontId="7" fillId="3" borderId="4" xfId="1" applyNumberFormat="1" applyFont="1" applyFill="1" applyBorder="1"/>
    <xf numFmtId="37" fontId="6" fillId="3" borderId="4" xfId="1" applyNumberFormat="1" applyFont="1" applyFill="1" applyBorder="1"/>
    <xf numFmtId="0" fontId="10" fillId="2" borderId="15" xfId="0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13" fillId="2" borderId="0" xfId="0" applyFont="1" applyFill="1" applyBorder="1" applyAlignment="1">
      <alignment horizontal="left"/>
    </xf>
    <xf numFmtId="0" fontId="6" fillId="3" borderId="2" xfId="0" applyFont="1" applyFill="1" applyBorder="1" applyAlignment="1" applyProtection="1">
      <protection locked="0"/>
    </xf>
    <xf numFmtId="0" fontId="6" fillId="3" borderId="1" xfId="0" applyFont="1" applyFill="1" applyBorder="1"/>
    <xf numFmtId="37" fontId="6" fillId="4" borderId="4" xfId="1" applyNumberFormat="1" applyFont="1" applyFill="1" applyBorder="1"/>
    <xf numFmtId="0" fontId="10" fillId="2" borderId="0" xfId="0" applyFont="1" applyFill="1" applyBorder="1"/>
    <xf numFmtId="37" fontId="10" fillId="2" borderId="0" xfId="1" applyNumberFormat="1" applyFont="1" applyFill="1" applyBorder="1"/>
    <xf numFmtId="0" fontId="10" fillId="2" borderId="3" xfId="0" applyFont="1" applyFill="1" applyBorder="1" applyProtection="1">
      <protection locked="0"/>
    </xf>
    <xf numFmtId="0" fontId="10" fillId="2" borderId="11" xfId="0" applyFont="1" applyFill="1" applyBorder="1"/>
    <xf numFmtId="0" fontId="3" fillId="2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172" fontId="2" fillId="2" borderId="4" xfId="1" applyNumberFormat="1" applyFont="1" applyFill="1" applyBorder="1" applyAlignment="1">
      <alignment horizontal="right"/>
    </xf>
    <xf numFmtId="14" fontId="2" fillId="2" borderId="1" xfId="0" applyNumberFormat="1" applyFont="1" applyFill="1" applyBorder="1" applyAlignment="1">
      <alignment horizontal="right"/>
    </xf>
    <xf numFmtId="164" fontId="2" fillId="2" borderId="0" xfId="0" applyNumberFormat="1" applyFont="1" applyFill="1"/>
    <xf numFmtId="43" fontId="2" fillId="2" borderId="0" xfId="0" applyNumberFormat="1" applyFont="1" applyFill="1" applyBorder="1"/>
    <xf numFmtId="0" fontId="6" fillId="5" borderId="2" xfId="0" applyFont="1" applyFill="1" applyBorder="1"/>
    <xf numFmtId="0" fontId="6" fillId="5" borderId="2" xfId="0" applyFont="1" applyFill="1" applyBorder="1" applyAlignment="1"/>
    <xf numFmtId="0" fontId="13" fillId="5" borderId="2" xfId="0" applyFont="1" applyFill="1" applyBorder="1" applyAlignment="1">
      <alignment horizontal="left"/>
    </xf>
    <xf numFmtId="0" fontId="10" fillId="2" borderId="2" xfId="0" applyFont="1" applyFill="1" applyBorder="1" applyAlignment="1" applyProtection="1">
      <alignment horizontal="right"/>
      <protection locked="0"/>
    </xf>
    <xf numFmtId="0" fontId="10" fillId="2" borderId="15" xfId="0" applyFont="1" applyFill="1" applyBorder="1" applyAlignment="1" applyProtection="1">
      <alignment horizontal="right"/>
      <protection locked="0"/>
    </xf>
    <xf numFmtId="0" fontId="8" fillId="4" borderId="1" xfId="0" applyFont="1" applyFill="1" applyBorder="1" applyAlignment="1">
      <alignment horizontal="center" vertical="top" wrapText="1"/>
    </xf>
    <xf numFmtId="0" fontId="8" fillId="4" borderId="4" xfId="0" applyFont="1" applyFill="1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center"/>
    </xf>
    <xf numFmtId="0" fontId="6" fillId="3" borderId="2" xfId="0" applyFont="1" applyFill="1" applyBorder="1"/>
    <xf numFmtId="164" fontId="10" fillId="2" borderId="4" xfId="0" applyNumberFormat="1" applyFont="1" applyFill="1" applyBorder="1" applyAlignment="1" applyProtection="1">
      <protection locked="0"/>
    </xf>
    <xf numFmtId="0" fontId="6" fillId="3" borderId="6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/>
    </xf>
    <xf numFmtId="0" fontId="10" fillId="2" borderId="7" xfId="0" applyFont="1" applyFill="1" applyBorder="1"/>
    <xf numFmtId="0" fontId="6" fillId="2" borderId="4" xfId="0" applyFont="1" applyFill="1" applyBorder="1" applyAlignment="1" applyProtection="1">
      <alignment horizontal="right"/>
    </xf>
    <xf numFmtId="0" fontId="13" fillId="4" borderId="1" xfId="0" applyFont="1" applyFill="1" applyBorder="1"/>
    <xf numFmtId="37" fontId="7" fillId="4" borderId="4" xfId="1" applyNumberFormat="1" applyFont="1" applyFill="1" applyBorder="1"/>
    <xf numFmtId="164" fontId="10" fillId="12" borderId="1" xfId="1" applyNumberFormat="1" applyFont="1" applyFill="1" applyBorder="1" applyAlignment="1" applyProtection="1"/>
    <xf numFmtId="0" fontId="2" fillId="2" borderId="9" xfId="0" applyFont="1" applyFill="1" applyBorder="1"/>
    <xf numFmtId="0" fontId="2" fillId="2" borderId="15" xfId="0" applyFont="1" applyFill="1" applyBorder="1"/>
    <xf numFmtId="0" fontId="2" fillId="2" borderId="7" xfId="0" applyFont="1" applyFill="1" applyBorder="1"/>
    <xf numFmtId="0" fontId="2" fillId="2" borderId="11" xfId="0" applyFont="1" applyFill="1" applyBorder="1"/>
    <xf numFmtId="0" fontId="10" fillId="2" borderId="4" xfId="1" quotePrefix="1" applyNumberFormat="1" applyFont="1" applyFill="1" applyBorder="1" applyAlignment="1" applyProtection="1">
      <alignment horizontal="center"/>
      <protection locked="0"/>
    </xf>
    <xf numFmtId="43" fontId="6" fillId="2" borderId="0" xfId="1" applyNumberFormat="1" applyFont="1" applyFill="1" applyBorder="1" applyAlignment="1">
      <alignment horizontal="center"/>
    </xf>
    <xf numFmtId="43" fontId="6" fillId="2" borderId="0" xfId="0" applyNumberFormat="1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 wrapText="1"/>
    </xf>
    <xf numFmtId="0" fontId="6" fillId="9" borderId="4" xfId="0" applyFont="1" applyFill="1" applyBorder="1" applyAlignment="1">
      <alignment horizontal="center" wrapText="1"/>
    </xf>
    <xf numFmtId="0" fontId="21" fillId="9" borderId="4" xfId="0" applyFont="1" applyFill="1" applyBorder="1" applyAlignment="1">
      <alignment horizontal="center" wrapText="1"/>
    </xf>
    <xf numFmtId="0" fontId="6" fillId="2" borderId="14" xfId="0" applyFont="1" applyFill="1" applyBorder="1" applyAlignment="1"/>
    <xf numFmtId="0" fontId="6" fillId="2" borderId="5" xfId="0" applyFont="1" applyFill="1" applyBorder="1" applyAlignment="1"/>
    <xf numFmtId="0" fontId="6" fillId="2" borderId="8" xfId="0" applyFont="1" applyFill="1" applyBorder="1" applyAlignment="1">
      <alignment horizontal="center"/>
    </xf>
    <xf numFmtId="0" fontId="21" fillId="2" borderId="14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37" fontId="6" fillId="2" borderId="4" xfId="0" applyNumberFormat="1" applyFont="1" applyFill="1" applyBorder="1" applyAlignment="1"/>
    <xf numFmtId="0" fontId="6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right"/>
    </xf>
    <xf numFmtId="37" fontId="0" fillId="2" borderId="0" xfId="0" applyNumberFormat="1" applyFill="1"/>
    <xf numFmtId="0" fontId="6" fillId="2" borderId="1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0" fillId="11" borderId="9" xfId="0" applyFont="1" applyFill="1" applyBorder="1" applyAlignment="1" applyProtection="1">
      <alignment horizontal="center"/>
      <protection hidden="1"/>
    </xf>
    <xf numFmtId="0" fontId="36" fillId="2" borderId="4" xfId="0" applyFont="1" applyFill="1" applyBorder="1"/>
    <xf numFmtId="43" fontId="10" fillId="2" borderId="4" xfId="1" applyNumberFormat="1" applyFont="1" applyFill="1" applyBorder="1"/>
    <xf numFmtId="10" fontId="10" fillId="2" borderId="0" xfId="0" applyNumberFormat="1" applyFont="1" applyFill="1" applyProtection="1">
      <protection locked="0"/>
    </xf>
    <xf numFmtId="0" fontId="3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10" fillId="11" borderId="9" xfId="0" applyFont="1" applyFill="1" applyBorder="1" applyAlignment="1" applyProtection="1">
      <alignment horizontal="center"/>
      <protection hidden="1"/>
    </xf>
    <xf numFmtId="0" fontId="2" fillId="2" borderId="4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9" fontId="10" fillId="11" borderId="4" xfId="2" applyFont="1" applyFill="1" applyBorder="1" applyProtection="1">
      <protection locked="0"/>
    </xf>
    <xf numFmtId="0" fontId="37" fillId="2" borderId="4" xfId="0" applyFont="1" applyFill="1" applyBorder="1" applyAlignment="1">
      <alignment horizontal="right"/>
    </xf>
    <xf numFmtId="164" fontId="2" fillId="2" borderId="11" xfId="1" applyNumberFormat="1" applyFont="1" applyFill="1" applyBorder="1" applyAlignment="1">
      <alignment horizontal="center"/>
    </xf>
    <xf numFmtId="164" fontId="2" fillId="2" borderId="0" xfId="1" applyNumberFormat="1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164" fontId="2" fillId="2" borderId="9" xfId="1" applyNumberFormat="1" applyFont="1" applyFill="1" applyBorder="1" applyAlignment="1">
      <alignment horizontal="center"/>
    </xf>
    <xf numFmtId="164" fontId="2" fillId="2" borderId="15" xfId="1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9" fontId="2" fillId="2" borderId="1" xfId="2" applyFont="1" applyFill="1" applyBorder="1" applyAlignment="1">
      <alignment horizontal="center"/>
    </xf>
    <xf numFmtId="9" fontId="2" fillId="2" borderId="3" xfId="2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3" fontId="2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right"/>
    </xf>
    <xf numFmtId="9" fontId="2" fillId="2" borderId="4" xfId="2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right"/>
    </xf>
    <xf numFmtId="165" fontId="2" fillId="2" borderId="3" xfId="1" applyNumberFormat="1" applyFont="1" applyFill="1" applyBorder="1" applyAlignment="1">
      <alignment horizontal="right"/>
    </xf>
    <xf numFmtId="164" fontId="2" fillId="2" borderId="1" xfId="1" applyNumberFormat="1" applyFont="1" applyFill="1" applyBorder="1" applyAlignment="1">
      <alignment horizontal="right"/>
    </xf>
    <xf numFmtId="164" fontId="2" fillId="2" borderId="3" xfId="1" applyNumberFormat="1" applyFont="1" applyFill="1" applyBorder="1" applyAlignment="1">
      <alignment horizontal="right"/>
    </xf>
    <xf numFmtId="164" fontId="2" fillId="2" borderId="1" xfId="1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43" fontId="2" fillId="2" borderId="1" xfId="1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25" fillId="2" borderId="2" xfId="0" applyFont="1" applyFill="1" applyBorder="1" applyAlignment="1">
      <alignment horizontal="right"/>
    </xf>
    <xf numFmtId="0" fontId="25" fillId="2" borderId="17" xfId="0" applyFont="1" applyFill="1" applyBorder="1" applyAlignment="1">
      <alignment horizontal="right"/>
    </xf>
    <xf numFmtId="0" fontId="14" fillId="2" borderId="1" xfId="0" applyFont="1" applyFill="1" applyBorder="1" applyAlignment="1" applyProtection="1">
      <protection locked="0"/>
    </xf>
    <xf numFmtId="0" fontId="14" fillId="2" borderId="3" xfId="0" applyFont="1" applyFill="1" applyBorder="1" applyAlignment="1" applyProtection="1">
      <protection locked="0"/>
    </xf>
    <xf numFmtId="0" fontId="10" fillId="11" borderId="1" xfId="0" applyFont="1" applyFill="1" applyBorder="1" applyAlignment="1" applyProtection="1">
      <alignment horizontal="center"/>
      <protection hidden="1"/>
    </xf>
    <xf numFmtId="0" fontId="10" fillId="11" borderId="3" xfId="0" applyFont="1" applyFill="1" applyBorder="1" applyAlignment="1" applyProtection="1">
      <alignment horizontal="center"/>
      <protection hidden="1"/>
    </xf>
    <xf numFmtId="0" fontId="10" fillId="11" borderId="9" xfId="0" applyFont="1" applyFill="1" applyBorder="1" applyAlignment="1" applyProtection="1">
      <alignment horizontal="center"/>
      <protection hidden="1"/>
    </xf>
    <xf numFmtId="0" fontId="10" fillId="11" borderId="7" xfId="0" applyFont="1" applyFill="1" applyBorder="1" applyAlignment="1" applyProtection="1">
      <alignment horizontal="center"/>
      <protection hidden="1"/>
    </xf>
    <xf numFmtId="0" fontId="6" fillId="3" borderId="9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6" fillId="3" borderId="13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10" fillId="2" borderId="1" xfId="0" applyFont="1" applyFill="1" applyBorder="1" applyAlignment="1" applyProtection="1">
      <alignment horizontal="center"/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0" fontId="6" fillId="5" borderId="1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164" fontId="10" fillId="2" borderId="6" xfId="0" applyNumberFormat="1" applyFont="1" applyFill="1" applyBorder="1" applyAlignment="1">
      <alignment horizontal="left"/>
    </xf>
    <xf numFmtId="164" fontId="10" fillId="2" borderId="10" xfId="0" applyNumberFormat="1" applyFont="1" applyFill="1" applyBorder="1" applyAlignment="1">
      <alignment horizontal="left"/>
    </xf>
    <xf numFmtId="164" fontId="10" fillId="2" borderId="2" xfId="0" applyNumberFormat="1" applyFont="1" applyFill="1" applyBorder="1" applyAlignment="1">
      <alignment horizontal="left"/>
    </xf>
    <xf numFmtId="164" fontId="10" fillId="2" borderId="3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right"/>
    </xf>
    <xf numFmtId="0" fontId="8" fillId="4" borderId="3" xfId="0" applyFont="1" applyFill="1" applyBorder="1" applyAlignment="1">
      <alignment horizontal="right"/>
    </xf>
    <xf numFmtId="5" fontId="15" fillId="3" borderId="1" xfId="4" applyNumberFormat="1" applyFont="1" applyFill="1" applyBorder="1" applyAlignment="1" applyProtection="1">
      <alignment horizontal="right"/>
    </xf>
    <xf numFmtId="5" fontId="15" fillId="3" borderId="3" xfId="4" applyNumberFormat="1" applyFont="1" applyFill="1" applyBorder="1" applyAlignment="1" applyProtection="1">
      <alignment horizontal="right"/>
    </xf>
    <xf numFmtId="0" fontId="34" fillId="2" borderId="8" xfId="0" applyFont="1" applyFill="1" applyBorder="1" applyAlignment="1" applyProtection="1">
      <alignment horizontal="center" vertical="center"/>
      <protection locked="0"/>
    </xf>
    <xf numFmtId="0" fontId="34" fillId="2" borderId="5" xfId="0" applyFont="1" applyFill="1" applyBorder="1" applyAlignment="1" applyProtection="1">
      <alignment horizontal="center" vertical="center"/>
      <protection locked="0"/>
    </xf>
    <xf numFmtId="14" fontId="12" fillId="2" borderId="1" xfId="0" applyNumberFormat="1" applyFont="1" applyFill="1" applyBorder="1" applyAlignment="1" applyProtection="1">
      <alignment horizontal="center"/>
      <protection locked="0"/>
    </xf>
    <xf numFmtId="14" fontId="12" fillId="2" borderId="3" xfId="0" applyNumberFormat="1" applyFont="1" applyFill="1" applyBorder="1" applyAlignment="1" applyProtection="1">
      <alignment horizontal="center"/>
      <protection locked="0"/>
    </xf>
    <xf numFmtId="14" fontId="12" fillId="2" borderId="13" xfId="0" applyNumberFormat="1" applyFont="1" applyFill="1" applyBorder="1" applyAlignment="1" applyProtection="1">
      <alignment horizontal="center"/>
      <protection locked="0"/>
    </xf>
    <xf numFmtId="14" fontId="12" fillId="2" borderId="10" xfId="0" applyNumberFormat="1" applyFont="1" applyFill="1" applyBorder="1" applyAlignment="1" applyProtection="1">
      <alignment horizontal="center"/>
      <protection locked="0"/>
    </xf>
    <xf numFmtId="0" fontId="14" fillId="2" borderId="1" xfId="0" applyFont="1" applyFill="1" applyBorder="1" applyAlignment="1" applyProtection="1">
      <alignment horizontal="left" wrapText="1"/>
      <protection locked="0"/>
    </xf>
    <xf numFmtId="0" fontId="14" fillId="2" borderId="2" xfId="0" applyFont="1" applyFill="1" applyBorder="1" applyAlignment="1" applyProtection="1">
      <alignment horizontal="left" wrapText="1"/>
      <protection locked="0"/>
    </xf>
    <xf numFmtId="0" fontId="14" fillId="2" borderId="3" xfId="0" applyFont="1" applyFill="1" applyBorder="1" applyAlignment="1" applyProtection="1">
      <alignment horizontal="left" wrapText="1"/>
      <protection locked="0"/>
    </xf>
    <xf numFmtId="0" fontId="14" fillId="2" borderId="1" xfId="0" applyFont="1" applyFill="1" applyBorder="1" applyAlignment="1" applyProtection="1">
      <alignment horizontal="left"/>
      <protection locked="0"/>
    </xf>
    <xf numFmtId="0" fontId="14" fillId="2" borderId="2" xfId="0" applyFont="1" applyFill="1" applyBorder="1" applyAlignment="1" applyProtection="1">
      <alignment horizontal="left"/>
      <protection locked="0"/>
    </xf>
    <xf numFmtId="0" fontId="14" fillId="2" borderId="3" xfId="0" applyFont="1" applyFill="1" applyBorder="1" applyAlignment="1" applyProtection="1">
      <alignment horizontal="left"/>
      <protection locked="0"/>
    </xf>
    <xf numFmtId="0" fontId="6" fillId="3" borderId="6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12" fillId="4" borderId="2" xfId="0" applyFont="1" applyFill="1" applyBorder="1" applyAlignment="1" applyProtection="1">
      <alignment horizontal="center"/>
      <protection locked="0"/>
    </xf>
    <xf numFmtId="0" fontId="12" fillId="4" borderId="3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left"/>
      <protection locked="0"/>
    </xf>
    <xf numFmtId="0" fontId="10" fillId="2" borderId="15" xfId="0" applyFont="1" applyFill="1" applyBorder="1" applyAlignment="1" applyProtection="1">
      <alignment horizontal="left"/>
      <protection locked="0"/>
    </xf>
    <xf numFmtId="0" fontId="10" fillId="2" borderId="7" xfId="0" applyFont="1" applyFill="1" applyBorder="1" applyAlignment="1" applyProtection="1">
      <alignment horizontal="left"/>
      <protection locked="0"/>
    </xf>
    <xf numFmtId="0" fontId="10" fillId="2" borderId="1" xfId="0" applyFont="1" applyFill="1" applyBorder="1" applyAlignment="1" applyProtection="1">
      <alignment horizontal="left"/>
      <protection locked="0"/>
    </xf>
    <xf numFmtId="0" fontId="10" fillId="2" borderId="2" xfId="0" applyFont="1" applyFill="1" applyBorder="1" applyAlignment="1" applyProtection="1">
      <alignment horizontal="left"/>
      <protection locked="0"/>
    </xf>
    <xf numFmtId="0" fontId="10" fillId="2" borderId="3" xfId="0" applyFont="1" applyFill="1" applyBorder="1" applyAlignment="1" applyProtection="1">
      <alignment horizontal="left"/>
      <protection locked="0"/>
    </xf>
    <xf numFmtId="0" fontId="8" fillId="4" borderId="2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13" fillId="5" borderId="1" xfId="0" applyFont="1" applyFill="1" applyBorder="1" applyAlignment="1">
      <alignment horizontal="left"/>
    </xf>
    <xf numFmtId="0" fontId="13" fillId="5" borderId="2" xfId="0" applyFont="1" applyFill="1" applyBorder="1" applyAlignment="1">
      <alignment horizontal="left"/>
    </xf>
    <xf numFmtId="3" fontId="15" fillId="2" borderId="2" xfId="4" applyNumberFormat="1" applyFont="1" applyFill="1" applyBorder="1" applyAlignment="1" applyProtection="1">
      <alignment horizontal="right"/>
      <protection locked="0"/>
    </xf>
    <xf numFmtId="3" fontId="15" fillId="2" borderId="3" xfId="4" applyNumberFormat="1" applyFont="1" applyFill="1" applyBorder="1" applyAlignment="1" applyProtection="1">
      <alignment horizontal="right"/>
      <protection locked="0"/>
    </xf>
    <xf numFmtId="168" fontId="10" fillId="2" borderId="1" xfId="0" applyNumberFormat="1" applyFont="1" applyFill="1" applyBorder="1" applyAlignment="1" applyProtection="1">
      <alignment horizontal="center"/>
      <protection locked="0"/>
    </xf>
    <xf numFmtId="168" fontId="10" fillId="2" borderId="3" xfId="0" applyNumberFormat="1" applyFont="1" applyFill="1" applyBorder="1" applyAlignment="1" applyProtection="1">
      <alignment horizontal="center"/>
      <protection locked="0"/>
    </xf>
    <xf numFmtId="0" fontId="16" fillId="2" borderId="1" xfId="0" applyFont="1" applyFill="1" applyBorder="1" applyAlignment="1" applyProtection="1">
      <alignment horizontal="center"/>
      <protection locked="0"/>
    </xf>
    <xf numFmtId="0" fontId="16" fillId="2" borderId="3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right"/>
      <protection locked="0"/>
    </xf>
    <xf numFmtId="0" fontId="6" fillId="2" borderId="2" xfId="0" applyFont="1" applyFill="1" applyBorder="1" applyAlignment="1" applyProtection="1">
      <alignment horizontal="right"/>
      <protection locked="0"/>
    </xf>
    <xf numFmtId="0" fontId="6" fillId="2" borderId="3" xfId="0" applyFont="1" applyFill="1" applyBorder="1" applyAlignment="1" applyProtection="1">
      <alignment horizontal="right"/>
      <protection locked="0"/>
    </xf>
    <xf numFmtId="0" fontId="16" fillId="2" borderId="13" xfId="0" applyFont="1" applyFill="1" applyBorder="1" applyAlignment="1" applyProtection="1">
      <alignment horizontal="right"/>
      <protection locked="0"/>
    </xf>
    <xf numFmtId="0" fontId="16" fillId="2" borderId="6" xfId="0" applyFont="1" applyFill="1" applyBorder="1" applyAlignment="1" applyProtection="1">
      <alignment horizontal="right"/>
      <protection locked="0"/>
    </xf>
    <xf numFmtId="0" fontId="16" fillId="2" borderId="10" xfId="0" applyFont="1" applyFill="1" applyBorder="1" applyAlignment="1" applyProtection="1">
      <alignment horizontal="right"/>
      <protection locked="0"/>
    </xf>
    <xf numFmtId="0" fontId="13" fillId="9" borderId="1" xfId="0" applyFont="1" applyFill="1" applyBorder="1" applyAlignment="1">
      <alignment horizontal="right"/>
    </xf>
    <xf numFmtId="0" fontId="13" fillId="9" borderId="2" xfId="0" applyFont="1" applyFill="1" applyBorder="1" applyAlignment="1">
      <alignment horizontal="right"/>
    </xf>
    <xf numFmtId="0" fontId="13" fillId="9" borderId="3" xfId="0" applyFont="1" applyFill="1" applyBorder="1" applyAlignment="1">
      <alignment horizontal="right"/>
    </xf>
    <xf numFmtId="0" fontId="13" fillId="5" borderId="1" xfId="0" applyFont="1" applyFill="1" applyBorder="1" applyAlignment="1">
      <alignment horizontal="right"/>
    </xf>
    <xf numFmtId="0" fontId="13" fillId="5" borderId="2" xfId="0" applyFont="1" applyFill="1" applyBorder="1" applyAlignment="1">
      <alignment horizontal="right"/>
    </xf>
    <xf numFmtId="0" fontId="13" fillId="5" borderId="3" xfId="0" applyFont="1" applyFill="1" applyBorder="1" applyAlignment="1">
      <alignment horizontal="right"/>
    </xf>
    <xf numFmtId="0" fontId="29" fillId="2" borderId="1" xfId="0" applyFont="1" applyFill="1" applyBorder="1" applyAlignment="1">
      <alignment horizontal="right"/>
    </xf>
    <xf numFmtId="0" fontId="29" fillId="2" borderId="2" xfId="0" applyFont="1" applyFill="1" applyBorder="1" applyAlignment="1">
      <alignment horizontal="right"/>
    </xf>
    <xf numFmtId="0" fontId="29" fillId="2" borderId="3" xfId="0" applyFont="1" applyFill="1" applyBorder="1" applyAlignment="1">
      <alignment horizontal="right"/>
    </xf>
    <xf numFmtId="0" fontId="12" fillId="4" borderId="1" xfId="0" applyFont="1" applyFill="1" applyBorder="1" applyAlignment="1" applyProtection="1">
      <alignment horizontal="left"/>
      <protection locked="0"/>
    </xf>
    <xf numFmtId="0" fontId="12" fillId="4" borderId="2" xfId="0" applyFont="1" applyFill="1" applyBorder="1" applyAlignment="1" applyProtection="1">
      <alignment horizontal="left"/>
      <protection locked="0"/>
    </xf>
    <xf numFmtId="0" fontId="12" fillId="4" borderId="3" xfId="0" applyFont="1" applyFill="1" applyBorder="1" applyAlignment="1" applyProtection="1">
      <alignment horizontal="left"/>
      <protection locked="0"/>
    </xf>
    <xf numFmtId="0" fontId="6" fillId="4" borderId="2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7" fillId="4" borderId="1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 applyProtection="1">
      <alignment horizontal="left"/>
      <protection locked="0"/>
    </xf>
    <xf numFmtId="0" fontId="7" fillId="4" borderId="3" xfId="0" applyFont="1" applyFill="1" applyBorder="1" applyAlignment="1" applyProtection="1">
      <alignment horizontal="left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0" fontId="13" fillId="3" borderId="1" xfId="0" applyFont="1" applyFill="1" applyBorder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center"/>
      <protection locked="0"/>
    </xf>
    <xf numFmtId="0" fontId="13" fillId="3" borderId="3" xfId="0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0" fontId="6" fillId="3" borderId="3" xfId="0" applyFont="1" applyFill="1" applyBorder="1" applyAlignment="1" applyProtection="1">
      <alignment horizontal="center"/>
      <protection locked="0"/>
    </xf>
    <xf numFmtId="14" fontId="25" fillId="2" borderId="18" xfId="0" applyNumberFormat="1" applyFont="1" applyFill="1" applyBorder="1" applyAlignment="1" applyProtection="1">
      <alignment horizontal="left"/>
      <protection locked="0"/>
    </xf>
    <xf numFmtId="14" fontId="25" fillId="2" borderId="19" xfId="0" applyNumberFormat="1" applyFont="1" applyFill="1" applyBorder="1" applyAlignment="1" applyProtection="1">
      <alignment horizontal="left"/>
      <protection locked="0"/>
    </xf>
    <xf numFmtId="0" fontId="7" fillId="4" borderId="9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/>
      <protection locked="0"/>
    </xf>
    <xf numFmtId="0" fontId="8" fillId="3" borderId="3" xfId="0" applyFont="1" applyFill="1" applyBorder="1" applyAlignment="1" applyProtection="1">
      <alignment horizontal="center"/>
      <protection locked="0"/>
    </xf>
    <xf numFmtId="0" fontId="26" fillId="3" borderId="1" xfId="0" applyFont="1" applyFill="1" applyBorder="1" applyAlignment="1" applyProtection="1">
      <alignment horizontal="left"/>
      <protection locked="0"/>
    </xf>
    <xf numFmtId="0" fontId="26" fillId="3" borderId="2" xfId="0" applyFont="1" applyFill="1" applyBorder="1" applyAlignment="1" applyProtection="1">
      <alignment horizontal="left"/>
      <protection locked="0"/>
    </xf>
    <xf numFmtId="0" fontId="26" fillId="3" borderId="3" xfId="0" applyFont="1" applyFill="1" applyBorder="1" applyAlignment="1" applyProtection="1">
      <alignment horizontal="left"/>
      <protection locked="0"/>
    </xf>
    <xf numFmtId="0" fontId="6" fillId="4" borderId="2" xfId="0" applyFont="1" applyFill="1" applyBorder="1" applyAlignment="1">
      <alignment horizontal="right"/>
    </xf>
    <xf numFmtId="0" fontId="10" fillId="2" borderId="2" xfId="0" applyFont="1" applyFill="1" applyBorder="1" applyAlignment="1" applyProtection="1">
      <alignment horizontal="right"/>
      <protection locked="0"/>
    </xf>
    <xf numFmtId="0" fontId="10" fillId="2" borderId="3" xfId="0" applyFont="1" applyFill="1" applyBorder="1" applyAlignment="1" applyProtection="1">
      <alignment horizontal="right"/>
      <protection locked="0"/>
    </xf>
    <xf numFmtId="0" fontId="13" fillId="4" borderId="1" xfId="0" applyFont="1" applyFill="1" applyBorder="1" applyAlignment="1">
      <alignment horizontal="left"/>
    </xf>
    <xf numFmtId="0" fontId="13" fillId="4" borderId="2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21" fillId="3" borderId="8" xfId="0" applyFont="1" applyFill="1" applyBorder="1" applyAlignment="1">
      <alignment horizontal="center" wrapText="1"/>
    </xf>
    <xf numFmtId="0" fontId="21" fillId="3" borderId="5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10" fillId="2" borderId="2" xfId="0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>
      <alignment horizontal="center"/>
    </xf>
    <xf numFmtId="0" fontId="10" fillId="2" borderId="9" xfId="0" applyFont="1" applyFill="1" applyBorder="1" applyAlignment="1" applyProtection="1">
      <alignment horizontal="right"/>
      <protection locked="0"/>
    </xf>
    <xf numFmtId="0" fontId="10" fillId="2" borderId="15" xfId="0" applyFont="1" applyFill="1" applyBorder="1" applyAlignment="1" applyProtection="1">
      <alignment horizontal="right"/>
      <protection locked="0"/>
    </xf>
    <xf numFmtId="0" fontId="10" fillId="2" borderId="7" xfId="0" applyFont="1" applyFill="1" applyBorder="1" applyAlignment="1" applyProtection="1">
      <alignment horizontal="right"/>
      <protection locked="0"/>
    </xf>
    <xf numFmtId="0" fontId="8" fillId="3" borderId="4" xfId="0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left"/>
    </xf>
    <xf numFmtId="164" fontId="10" fillId="2" borderId="12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left" vertical="top" wrapText="1"/>
    </xf>
    <xf numFmtId="0" fontId="8" fillId="4" borderId="3" xfId="0" applyFont="1" applyFill="1" applyBorder="1" applyAlignment="1">
      <alignment horizontal="left" vertical="top" wrapText="1"/>
    </xf>
    <xf numFmtId="0" fontId="30" fillId="2" borderId="4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right"/>
    </xf>
    <xf numFmtId="0" fontId="3" fillId="10" borderId="2" xfId="0" applyFont="1" applyFill="1" applyBorder="1" applyAlignment="1">
      <alignment horizontal="right"/>
    </xf>
    <xf numFmtId="0" fontId="3" fillId="10" borderId="3" xfId="0" applyFont="1" applyFill="1" applyBorder="1" applyAlignment="1">
      <alignment horizontal="right"/>
    </xf>
    <xf numFmtId="164" fontId="3" fillId="10" borderId="1" xfId="1" applyNumberFormat="1" applyFont="1" applyFill="1" applyBorder="1" applyAlignment="1">
      <alignment horizontal="right"/>
    </xf>
    <xf numFmtId="164" fontId="3" fillId="10" borderId="3" xfId="1" applyNumberFormat="1" applyFont="1" applyFill="1" applyBorder="1" applyAlignment="1">
      <alignment horizontal="right"/>
    </xf>
    <xf numFmtId="0" fontId="3" fillId="3" borderId="8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43" fontId="6" fillId="9" borderId="1" xfId="0" applyNumberFormat="1" applyFont="1" applyFill="1" applyBorder="1" applyAlignment="1">
      <alignment horizontal="center"/>
    </xf>
    <xf numFmtId="43" fontId="6" fillId="9" borderId="2" xfId="0" applyNumberFormat="1" applyFont="1" applyFill="1" applyBorder="1" applyAlignment="1">
      <alignment horizontal="center"/>
    </xf>
    <xf numFmtId="43" fontId="6" fillId="9" borderId="3" xfId="0" applyNumberFormat="1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164" fontId="6" fillId="2" borderId="3" xfId="1" applyNumberFormat="1" applyFont="1" applyFill="1" applyBorder="1" applyAlignment="1">
      <alignment horizontal="center"/>
    </xf>
    <xf numFmtId="164" fontId="10" fillId="2" borderId="1" xfId="1" applyNumberFormat="1" applyFont="1" applyFill="1" applyBorder="1" applyAlignment="1">
      <alignment horizontal="center"/>
    </xf>
    <xf numFmtId="164" fontId="10" fillId="2" borderId="3" xfId="1" applyNumberFormat="1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13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43" fontId="6" fillId="6" borderId="1" xfId="0" applyNumberFormat="1" applyFont="1" applyFill="1" applyBorder="1" applyAlignment="1">
      <alignment horizontal="center"/>
    </xf>
    <xf numFmtId="43" fontId="6" fillId="6" borderId="2" xfId="0" applyNumberFormat="1" applyFont="1" applyFill="1" applyBorder="1" applyAlignment="1">
      <alignment horizontal="center"/>
    </xf>
    <xf numFmtId="43" fontId="6" fillId="6" borderId="3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horizontal="right"/>
    </xf>
    <xf numFmtId="0" fontId="6" fillId="5" borderId="3" xfId="0" applyFont="1" applyFill="1" applyBorder="1" applyAlignment="1">
      <alignment horizontal="right"/>
    </xf>
    <xf numFmtId="0" fontId="6" fillId="9" borderId="9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0" fontId="6" fillId="9" borderId="7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6" fillId="7" borderId="13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21" fillId="8" borderId="9" xfId="0" applyFont="1" applyFill="1" applyBorder="1" applyAlignment="1">
      <alignment horizontal="center" vertical="center" wrapText="1"/>
    </xf>
    <xf numFmtId="0" fontId="21" fillId="8" borderId="7" xfId="0" applyFont="1" applyFill="1" applyBorder="1" applyAlignment="1">
      <alignment horizontal="center" vertical="center" wrapText="1"/>
    </xf>
    <xf numFmtId="0" fontId="21" fillId="8" borderId="13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wrapText="1"/>
    </xf>
    <xf numFmtId="0" fontId="6" fillId="8" borderId="0" xfId="0" applyFont="1" applyFill="1" applyBorder="1" applyAlignment="1">
      <alignment horizontal="center" wrapText="1"/>
    </xf>
    <xf numFmtId="0" fontId="6" fillId="8" borderId="0" xfId="0" applyFont="1" applyFill="1" applyBorder="1" applyAlignment="1">
      <alignment horizontal="center"/>
    </xf>
    <xf numFmtId="0" fontId="6" fillId="8" borderId="12" xfId="0" applyFont="1" applyFill="1" applyBorder="1" applyAlignment="1">
      <alignment horizontal="center"/>
    </xf>
  </cellXfs>
  <cellStyles count="19">
    <cellStyle name="Comma" xfId="1" builtinId="3"/>
    <cellStyle name="Comma 10" xfId="3"/>
    <cellStyle name="Comma 11" xfId="17"/>
    <cellStyle name="Comma 12" xfId="18"/>
    <cellStyle name="Comma 2" xfId="10"/>
    <cellStyle name="Comma 3" xfId="11"/>
    <cellStyle name="Comma 4" xfId="12"/>
    <cellStyle name="Comma 5" xfId="13"/>
    <cellStyle name="Comma 6" xfId="14"/>
    <cellStyle name="Comma 7" xfId="15"/>
    <cellStyle name="Comma 8" xfId="16"/>
    <cellStyle name="Comma 9" xfId="8"/>
    <cellStyle name="Currency" xfId="4" builtinId="4"/>
    <cellStyle name="Normal" xfId="0" builtinId="0"/>
    <cellStyle name="Normal 2" xfId="9"/>
    <cellStyle name="Normal 3" xfId="7"/>
    <cellStyle name="Normal 4" xfId="5"/>
    <cellStyle name="Percent" xfId="2" builtinId="5"/>
    <cellStyle name="Percent 2" xfId="6"/>
  </cellStyles>
  <dxfs count="26">
    <dxf>
      <border>
        <right/>
        <vertical/>
        <horizontal/>
      </border>
    </dxf>
    <dxf>
      <border>
        <right/>
      </border>
    </dxf>
    <dxf>
      <border>
        <right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left/>
        <vertical/>
        <horizontal/>
      </border>
    </dxf>
    <dxf>
      <font>
        <color theme="5" tint="-0.24994659260841701"/>
      </font>
      <fill>
        <patternFill>
          <bgColor theme="0" tint="-0.14996795556505021"/>
        </patternFill>
      </fill>
      <border>
        <right style="thin">
          <color auto="1"/>
        </right>
      </border>
    </dxf>
    <dxf>
      <font>
        <color theme="0"/>
      </font>
    </dxf>
    <dxf>
      <font>
        <color theme="0"/>
      </font>
    </dxf>
    <dxf>
      <font>
        <color theme="0"/>
      </font>
      <border>
        <left/>
        <bottom/>
        <vertical/>
        <horizontal/>
      </border>
    </dxf>
    <dxf>
      <font>
        <color theme="0"/>
      </font>
      <border>
        <left/>
        <right style="thin">
          <color auto="1"/>
        </right>
        <top/>
        <bottom style="thin">
          <color auto="1"/>
        </bottom>
        <vertical/>
        <horizontal/>
      </border>
    </dxf>
    <dxf>
      <font>
        <color theme="0"/>
      </font>
      <border>
        <left/>
        <right/>
        <top/>
        <bottom style="thin">
          <color auto="1"/>
        </bottom>
        <vertical/>
        <horizontal/>
      </border>
    </dxf>
    <dxf>
      <font>
        <strike val="0"/>
      </font>
      <numFmt numFmtId="14" formatCode="0.00%"/>
    </dxf>
    <dxf>
      <numFmt numFmtId="14" formatCode="0.00%"/>
    </dxf>
    <dxf>
      <numFmt numFmtId="168" formatCode="0.0%"/>
    </dxf>
    <dxf>
      <numFmt numFmtId="168" formatCode="0.0%"/>
    </dxf>
    <dxf>
      <font>
        <color theme="0"/>
      </font>
      <fill>
        <patternFill patternType="solid"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color theme="0"/>
      </font>
    </dxf>
    <dxf>
      <font>
        <color theme="0"/>
      </font>
      <fill>
        <patternFill patternType="solid"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ont>
        <color theme="5" tint="-0.2499465926084170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</dxfs>
  <tableStyles count="0" defaultTableStyle="TableStyleMedium2" defaultPivotStyle="PivotStyleLight16"/>
  <colors>
    <mruColors>
      <color rgb="FFF2F7FC"/>
      <color rgb="FFFCD3FF"/>
      <color rgb="FFE7F1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9"/>
  <sheetViews>
    <sheetView topLeftCell="A25" zoomScale="120" zoomScaleNormal="120" workbookViewId="0">
      <selection activeCell="G35" sqref="G35:G51"/>
    </sheetView>
  </sheetViews>
  <sheetFormatPr defaultColWidth="8.85546875" defaultRowHeight="14.25" x14ac:dyDescent="0.2"/>
  <cols>
    <col min="1" max="1" width="35.140625" style="1" bestFit="1" customWidth="1"/>
    <col min="2" max="2" width="12.28515625" style="1" customWidth="1"/>
    <col min="3" max="3" width="11.85546875" style="1" bestFit="1" customWidth="1"/>
    <col min="4" max="4" width="12.5703125" style="1" customWidth="1"/>
    <col min="5" max="5" width="12.28515625" style="1" bestFit="1" customWidth="1"/>
    <col min="6" max="6" width="13.7109375" style="1" customWidth="1"/>
    <col min="7" max="7" width="11.85546875" style="1" bestFit="1" customWidth="1"/>
    <col min="8" max="8" width="12.42578125" style="1" bestFit="1" customWidth="1"/>
    <col min="9" max="10" width="11.28515625" style="1" bestFit="1" customWidth="1"/>
    <col min="11" max="11" width="11.5703125" style="1" bestFit="1" customWidth="1"/>
    <col min="12" max="13" width="11.28515625" style="1" bestFit="1" customWidth="1"/>
    <col min="14" max="14" width="11.28515625" style="1" customWidth="1"/>
    <col min="15" max="15" width="12.5703125" style="1" customWidth="1"/>
    <col min="16" max="16" width="11.5703125" style="1" bestFit="1" customWidth="1"/>
    <col min="17" max="17" width="12.42578125" style="1" customWidth="1"/>
    <col min="18" max="18" width="11" style="1" customWidth="1"/>
    <col min="19" max="19" width="12.85546875" style="1" customWidth="1"/>
    <col min="20" max="16384" width="8.85546875" style="1"/>
  </cols>
  <sheetData>
    <row r="1" spans="1:24" x14ac:dyDescent="0.2">
      <c r="A1" s="2" t="s">
        <v>0</v>
      </c>
      <c r="B1" s="10" t="s">
        <v>19</v>
      </c>
      <c r="C1" s="99">
        <f>IF(Request!P2="0 Months",0,IF(Request!P2="1 month",1,IF(Request!P2="2 months",2,IF(Request!P2="3 months",3,IF(Request!P2="4 months",4,IF(Request!P2="5 months",5,IF(Request!P2="6 months",6,IF(Request!P2="7 months",7,IF(Request!P2="8 months",8,IF(Request!P2="9 months",9,IF(Request!P2="10 months",10,IF(Request!P2="11 months",11,IF(Request!P2="12 months",12,0)))))))))))))</f>
        <v>12</v>
      </c>
      <c r="D1" s="10"/>
      <c r="E1" s="10"/>
      <c r="F1" s="10"/>
      <c r="G1" s="10"/>
      <c r="I1" s="19"/>
      <c r="J1" s="20"/>
      <c r="K1" s="20"/>
    </row>
    <row r="2" spans="1:24" x14ac:dyDescent="0.2">
      <c r="A2" s="6" t="s">
        <v>1</v>
      </c>
      <c r="B2" s="5">
        <f>Request!C1</f>
        <v>43739</v>
      </c>
      <c r="C2" s="5">
        <f>B2</f>
        <v>43739</v>
      </c>
      <c r="D2" s="5">
        <f>IF(C3&lt;B3,DATE(YEAR(C3),MONTH(C3),DAY(C3)+1),"")</f>
        <v>44105</v>
      </c>
      <c r="E2" s="5">
        <f>IF($D$3&lt;$B$3,DATE(YEAR(D3),MONTH(D3),DAY(D3)+1),"")</f>
        <v>44470</v>
      </c>
      <c r="F2" s="5">
        <f>IF(AND($D$3&lt;$B$3,$E3&lt;$B$3),DATE(YEAR(E3),MONTH(E3),DAY(E3)+1),"")</f>
        <v>44835</v>
      </c>
      <c r="G2" s="5">
        <f>IF(AND($D$3&lt;$B$3,$E3&lt;$B$3,F3&lt;B3),DATE(YEAR(F3),MONTH(F3),DAY(F3)+1),"")</f>
        <v>45200</v>
      </c>
      <c r="H2" s="5"/>
      <c r="I2" s="19"/>
      <c r="J2" s="19"/>
      <c r="K2" s="19"/>
      <c r="L2" s="4"/>
      <c r="M2" s="4">
        <v>1</v>
      </c>
      <c r="N2" s="4">
        <v>2</v>
      </c>
      <c r="O2" s="4">
        <v>3</v>
      </c>
      <c r="P2" s="4">
        <v>4</v>
      </c>
      <c r="Q2" s="4">
        <v>5</v>
      </c>
      <c r="R2" s="4">
        <v>6</v>
      </c>
      <c r="S2" s="4">
        <v>7</v>
      </c>
      <c r="T2" s="4">
        <v>8</v>
      </c>
      <c r="U2" s="4">
        <v>9</v>
      </c>
      <c r="V2" s="4">
        <v>10</v>
      </c>
      <c r="W2" s="4">
        <v>11</v>
      </c>
      <c r="X2" s="4">
        <v>12</v>
      </c>
    </row>
    <row r="3" spans="1:24" x14ac:dyDescent="0.2">
      <c r="A3" s="6" t="s">
        <v>2</v>
      </c>
      <c r="B3" s="5">
        <f>Request!C2</f>
        <v>45565</v>
      </c>
      <c r="C3" s="5">
        <f>IF(B5&lt;C1,B3,(DATE(YEAR(C2),MONTH(C2)+C1,DAY(C2)-1)))</f>
        <v>44104</v>
      </c>
      <c r="D3" s="5">
        <f>IF(C3=B3,"",IF((DATE(YEAR(D2)+1,MONTH(D2),DAY(D2)-1))&gt;$B$3,$B$3,(DATE(YEAR(D2)+1,MONTH(D2),DAY(D2)-1))))</f>
        <v>44469</v>
      </c>
      <c r="E3" s="5">
        <f>IF(C3=B3,"",IF(D3=B3,"",IF((DATE(YEAR(E2)+1,MONTH(E2),DAY(E2)-1))&gt;$B$3,$B$3,(DATE(YEAR(E2)+1,MONTH(E2),DAY(E2)-1)))))</f>
        <v>44834</v>
      </c>
      <c r="F3" s="5">
        <f>IF($B$3=$C$3,"",IF($D$3=$B$3,"",IF($E$3=$B$3,"",IF((DATE(YEAR(F2)+1,MONTH(F2),DAY(F2)-1))&gt;$B$3,$B$3,(DATE(YEAR(F2)+1,MONTH(F2),DAY(F2)-1))))))</f>
        <v>45199</v>
      </c>
      <c r="G3" s="5">
        <f>IF($B$3=$C$3,"",IF($D$3=$B$3,"",IF($E$3=$B$3,"",IF($F3=B3,"",IF((DATE(YEAR(G2)+1,MONTH(G2),DAY(G2)-1))&gt;$B$3,$B$3,(DATE(YEAR(G2)+1,MONTH(G2),DAY(G2)-1)))))))</f>
        <v>45565</v>
      </c>
      <c r="H3" s="5"/>
      <c r="I3" s="38"/>
      <c r="J3" s="20"/>
      <c r="K3" s="20"/>
      <c r="L3" s="4">
        <v>1</v>
      </c>
      <c r="M3" s="4">
        <v>1</v>
      </c>
      <c r="N3" s="4">
        <v>1</v>
      </c>
      <c r="O3" s="4">
        <v>1</v>
      </c>
      <c r="P3" s="4">
        <v>1</v>
      </c>
      <c r="Q3" s="4">
        <v>1</v>
      </c>
      <c r="R3" s="4">
        <v>1</v>
      </c>
      <c r="S3" s="4">
        <v>0</v>
      </c>
      <c r="T3" s="4">
        <v>0</v>
      </c>
      <c r="U3" s="4">
        <v>0</v>
      </c>
      <c r="V3" s="4">
        <v>1</v>
      </c>
      <c r="W3" s="4">
        <v>1</v>
      </c>
      <c r="X3" s="4">
        <v>1</v>
      </c>
    </row>
    <row r="4" spans="1:24" x14ac:dyDescent="0.2">
      <c r="A4" s="6" t="s">
        <v>17</v>
      </c>
      <c r="B4" s="6" t="str">
        <f>IF(AND(B2&gt;DATEVALUE("6/30/2014"),B2&lt;DATEVALUE("7/1/2015")),"14/15",IF(AND(B2&gt;DATEVALUE("6/30/2015"),B2&lt;DATEVALUE("7/1/2016")),"15/16",IF(AND(B2&gt;DATEVALUE("6/30/2016"),B2&lt;DATEVALUE("7/1/2017")),"16/17",IF(AND(B2&gt;DATEVALUE("6/30/2017"),B2&lt;DATEVALUE("7/1/2018")),"17/18",IF(AND(B2&gt;DATEVALUE("6/30/2018"),B2&lt;DATEVALUE("7/1/2019")),"18/19",IF(AND(B2&gt;DATEVALUE("6/30/2019"),B2&lt;DATEVALUE("7/1/2020")),"19/20",IF(AND(B2&gt;DATEVALUE("6/30/2020"),B2&lt;DATEVALUE("7/1/2021")),"20/21",IF(AND(B2&gt;DATEVALUE("6/30/2021"),B2&lt;DATEVALUE("7/1/2022")),"21/22",IF(AND(B2&gt;DATEVALUE("6/30/2022"),B2&lt;DATEVALUE("7/1/2023")),"22/23",IF(AND(B2&gt;DATEVALUE("6/30/2023"),B2&lt;DATEVALUE("7/1/2024")),"23/24",IF(AND(B2&gt;DATEVALUE("6/30/2024"),B2&lt;DATEVALUE("7/1/2025")),"24/25",IF(AND(B2&gt;DATEVALUE("6/30/2025"),B2&lt;DATEVALUE("7/1/2026")),"25/26",IF(AND(B2&gt;DATEVALUE("6/30/2026"),B2&lt;DATEVALUE("7/1/2027")),"26/27",IF(AND(B2&gt;DATEVALUE("6/30/2027"),B2&lt;DATEVALUE("7/1/2028")),"27/28",IF(AND(B2&gt;DATEVALUE("6/30/2028"),B2&lt;DATEVALUE("7/1/2029")),"28/29",IF(AND(B2&gt;DATEVALUE("6/30/2029"),B2&lt;DATEVALUE("7/1/2030")),"29/30"))))))))))))))))</f>
        <v>19/20</v>
      </c>
      <c r="C4" s="287" t="str">
        <f>IF(AND(C2&gt;DATEVALUE("6/30/2014"),C2&lt;DATEVALUE("7/1/2015")),"14/15",IF(AND(C2&gt;DATEVALUE("6/30/2015"),C2&lt;DATEVALUE("7/1/2016")),"15/16",IF(AND(C2&gt;DATEVALUE("6/30/2016"),C2&lt;DATEVALUE("7/1/2017")),"16/17",IF(AND(C2&gt;DATEVALUE("6/30/2017"),C2&lt;DATEVALUE("7/1/2018")),"17/18",IF(AND(C2&gt;DATEVALUE("6/30/2018"),C2&lt;DATEVALUE("7/1/2019")),"18/19",IF(AND(C2&gt;DATEVALUE("6/30/2019"),C2&lt;DATEVALUE("7/1/2020")),"19/20",IF(AND(C2&gt;DATEVALUE("6/30/2020"),C2&lt;DATEVALUE("7/1/2021")),"20/21",IF(AND(C2&gt;DATEVALUE("6/30/2021"),C2&lt;DATEVALUE("7/1/2022")),"21/22",IF(AND(C2&gt;DATEVALUE("6/30/2022"),C2&lt;DATEVALUE("7/1/2023")),"22/23",IF(AND(C2&gt;DATEVALUE("6/30/2023"),C2&lt;DATEVALUE("7/1/2024")),"23/24",IF(AND(C2&gt;DATEVALUE("6/30/2024"),C2&lt;DATEVALUE("7/1/2025")),"24/25",IF(AND(C2&gt;DATEVALUE("6/30/2025"),C2&lt;DATEVALUE("7/1/2026")),"25/26",IF(AND(C2&gt;DATEVALUE("6/30/2026"),C2&lt;DATEVALUE("7/1/2027")),"26/27",IF(AND(C2&gt;DATEVALUE("6/30/2027"),C2&lt;DATEVALUE("7/1/2028")),"27/28",IF(AND(C2&gt;DATEVALUE("6/30/2028"),C2&lt;DATEVALUE("7/1/2029")),"28/29",IF(AND(C2&gt;DATEVALUE("6/30/2029"),C2&lt;DATEVALUE("7/1/2030")),"29/30"))))))))))))))))</f>
        <v>19/20</v>
      </c>
      <c r="D4" s="286" t="str">
        <f>IF($C$3&lt;$B$3,(IF(AND(D2&gt;DATEVALUE("6/30/2014"),D2&lt;DATEVALUE("7/1/2015")),"14/15",IF(AND(D2&gt;DATEVALUE("6/30/2015"),D2&lt;DATEVALUE("7/1/2016")),"15/16",IF(AND(D2&gt;DATEVALUE("6/30/2016"),D2&lt;DATEVALUE("7/1/2017")),"16/17",IF(AND(D2&gt;DATEVALUE("6/30/2017"),D2&lt;DATEVALUE("7/1/2018")),"17/18",IF(AND(D2&gt;DATEVALUE("6/30/2018"),D2&lt;DATEVALUE("7/1/2019")),"18/19",IF(AND(D2&gt;DATEVALUE("6/30/2019"),D2&lt;DATEVALUE("7/1/2020")),"19/20",IF(AND(D2&gt;DATEVALUE("6/30/2020"),D2&lt;DATEVALUE("7/1/2021")),"20/21",IF(AND(D2&gt;DATEVALUE("6/30/2021"),D2&lt;DATEVALUE("7/1/2022")),"21/22",IF(AND(D2&gt;DATEVALUE("6/30/2022"),D2&lt;DATEVALUE("7/1/2023")),"22/23",IF(AND(D2&gt;DATEVALUE("6/30/2023"),D2&lt;DATEVALUE("7/1/2024")),"23/24",IF(AND(D2&gt;DATEVALUE("6/30/2024"),D2&lt;DATEVALUE("7/1/2025")),"24/25",IF(AND(D2&gt;DATEVALUE("6/30/2025"),D2&lt;DATEVALUE("7/1/2026")),"25/26",IF(AND(D2&gt;DATEVALUE("6/30/2026"),D2&lt;DATEVALUE("7/1/2027")),"26/27",IF(AND(D2&gt;DATEVALUE("6/30/2027"),D2&lt;DATEVALUE("7/1/2028")),"27/28",IF(AND(D2&gt;DATEVALUE("6/30/2028"),D2&lt;DATEVALUE("7/1/2029")),"28/29",IF(AND(D2&gt;DATEVALUE("6/30/2029"),D2&lt;DATEVALUE("7/1/2030")),"29/30"))))))))))))))))),"")</f>
        <v>20/21</v>
      </c>
      <c r="E4" s="286" t="str">
        <f>IF(AND($D$3&lt;$B$3,$C$3&lt;$B$3),(IF(AND(E2&gt;DATEVALUE("6/30/2014"),E2&lt;DATEVALUE("7/1/2015")),"14/15",IF(AND(E2&gt;DATEVALUE("6/30/2015"),E2&lt;DATEVALUE("7/1/2016")),"15/16",IF(AND(E2&gt;DATEVALUE("6/30/2016"),E2&lt;DATEVALUE("7/1/2017")),"16/17",IF(AND(E2&gt;DATEVALUE("6/30/2017"),E2&lt;DATEVALUE("7/1/2018")),"17/18",IF(AND(E2&gt;DATEVALUE("6/30/2018"),E2&lt;DATEVALUE("7/1/2019")),"18/19",IF(AND(E2&gt;DATEVALUE("6/30/2019"),E2&lt;DATEVALUE("7/1/2020")),"19/20",IF(AND(E2&gt;DATEVALUE("6/30/2020"),E2&lt;DATEVALUE("7/1/2021")),"20/21",IF(AND(E2&gt;DATEVALUE("6/30/2021"),E2&lt;DATEVALUE("7/1/2022")),"21/22",IF(AND(E2&gt;DATEVALUE("6/30/2022"),E2&lt;DATEVALUE("7/1/2023")),"22/23",IF(AND(E2&gt;DATEVALUE("6/30/2023"),E2&lt;DATEVALUE("7/1/2024")),"23/24",IF(AND(E2&gt;DATEVALUE("6/30/2024"),E2&lt;DATEVALUE("7/1/2025")),"24/25",IF(AND(E2&gt;DATEVALUE("6/30/2025"),E2&lt;DATEVALUE("7/1/2026")),"25/26",IF(AND(E2&gt;DATEVALUE("6/30/2026"),E2&lt;DATEVALUE("7/1/2027")),"26/27",IF(AND(E2&gt;DATEVALUE("6/30/2027"),E2&lt;DATEVALUE("7/1/2028")),"27/28",IF(AND(E2&gt;DATEVALUE("6/30/2028"),E2&lt;DATEVALUE("7/1/2029")),"28/29",IF(AND(D2&gt;DATEVALUE("6/30/2029"),D2&lt;DATEVALUE("7/1/2030")),"29/30"))))))))))))))))),"")</f>
        <v>21/22</v>
      </c>
      <c r="F4" s="286" t="str">
        <f>IF(AND($D$3&lt;$B$3,$C$3&lt;$B$3,E3&lt;B3),(IF(AND(F2&gt;DATEVALUE("6/30/2014"),F2&lt;DATEVALUE("7/1/2015")),"14/15",IF(AND(F2&gt;DATEVALUE("6/30/2015"),F2&lt;DATEVALUE("7/1/2016")),"15/16",IF(AND(F2&gt;DATEVALUE("6/30/2016"),F2&lt;DATEVALUE("7/1/2017")),"16/17",IF(AND(F2&gt;DATEVALUE("6/30/2017"),F2&lt;DATEVALUE("7/1/2018")),"17/18",IF(AND(F2&gt;DATEVALUE("6/30/2018"),F2&lt;DATEVALUE("7/1/2019")),"18/19",IF(AND(F2&gt;DATEVALUE("6/30/2019"),F2&lt;DATEVALUE("7/1/2020")),"19/20",IF(AND(F2&gt;DATEVALUE("6/30/2020"),F2&lt;DATEVALUE("7/1/2021")),"20/21",IF(AND(F2&gt;DATEVALUE("6/30/2021"),F2&lt;DATEVALUE("7/1/2022")),"21/22",IF(AND(F2&gt;DATEVALUE("6/30/2022"),F2&lt;DATEVALUE("7/1/2023")),"22/23",IF(AND(F2&gt;DATEVALUE("6/30/2023"),F2&lt;DATEVALUE("7/1/2024")),"23/24",IF(AND(F2&gt;DATEVALUE("6/30/2024"),F2&lt;DATEVALUE("7/1/2025")),"24/25",IF(AND(F2&gt;DATEVALUE("6/30/2025"),F2&lt;DATEVALUE("7/1/2026")),"25/26",IF(AND(F2&gt;DATEVALUE("6/30/2026"),F2&lt;DATEVALUE("7/1/2027")),"26/27",IF(AND(F2&gt;DATEVALUE("6/30/2027"),F2&lt;DATEVALUE("7/1/2028")),"27/28",IF(AND(F2&gt;DATEVALUE("6/30/2028"),F2&lt;DATEVALUE("7/1/2029")),"28/29",IF(AND(D2&gt;DATEVALUE("6/30/2029"),D2&lt;DATEVALUE("7/1/2030")),"29/30"))))))))))))))))),"")</f>
        <v>22/23</v>
      </c>
      <c r="G4" s="286" t="str">
        <f>IF(AND($D$3&lt;$B$3,$C$3&lt;$B$3,F3&lt;B3,E3&lt;B3),(IF(AND(G2&gt;DATEVALUE("6/30/2014"),G2&lt;DATEVALUE("7/1/2015")),"14/15",IF(AND(G2&gt;DATEVALUE("6/30/2015"),G2&lt;DATEVALUE("7/1/2016")),"15/16",IF(AND(G2&gt;DATEVALUE("6/30/2016"),G2&lt;DATEVALUE("7/1/2017")),"16/17",IF(AND(G2&gt;DATEVALUE("6/30/2017"),G2&lt;DATEVALUE("7/1/2018")),"17/18",IF(AND(G2&gt;DATEVALUE("6/30/2018"),G2&lt;DATEVALUE("7/1/2019")),"18/19",IF(AND(G2&gt;DATEVALUE("6/30/2019"),G2&lt;DATEVALUE("7/1/2020")),"19/20",IF(AND(G2&gt;DATEVALUE("6/30/2020"),G2&lt;DATEVALUE("7/1/2021")),"20/21",IF(AND(G2&gt;DATEVALUE("6/30/2021"),G2&lt;DATEVALUE("7/1/2022")),"21/22",IF(AND(G2&gt;DATEVALUE("6/30/2022"),G2&lt;DATEVALUE("7/1/2023")),"22/23",IF(AND(G2&gt;DATEVALUE("6/30/2023"),G2&lt;DATEVALUE("7/1/2024")),"23/24",IF(AND(G2&gt;DATEVALUE("6/30/2024"),G2&lt;DATEVALUE("7/1/2025")),"24/25",IF(AND(G2&gt;DATEVALUE("6/30/2025"),G2&lt;DATEVALUE("7/1/2026")),"25/26",IF(AND(G2&gt;DATEVALUE("6/30/2026"),G2&lt;DATEVALUE("7/1/2027")),"26/27",IF(AND(G2&gt;DATEVALUE("6/30/2027"),G2&lt;DATEVALUE("7/1/2028")),"27/28",IF(AND(G2&gt;DATEVALUE("6/30/2028"),G2&lt;DATEVALUE("7/1/2029")),"28/29",IF(AND(G2&gt;DATEVALUE("6/30/2029"),G2&lt;DATEVALUE("7/1/2030")),"29/30"))))))))))))))))),"")</f>
        <v>23/24</v>
      </c>
      <c r="H4" s="298"/>
      <c r="I4" s="19"/>
      <c r="J4" s="20"/>
      <c r="K4" s="20"/>
      <c r="L4" s="4">
        <v>2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1</v>
      </c>
      <c r="S4" s="4">
        <v>0</v>
      </c>
      <c r="T4" s="4">
        <v>0</v>
      </c>
      <c r="U4" s="4">
        <v>1</v>
      </c>
      <c r="V4" s="4">
        <v>2</v>
      </c>
      <c r="W4" s="4">
        <v>2</v>
      </c>
      <c r="X4" s="4">
        <v>2</v>
      </c>
    </row>
    <row r="5" spans="1:24" x14ac:dyDescent="0.2">
      <c r="A5" s="6" t="s">
        <v>20</v>
      </c>
      <c r="B5" s="15">
        <f>ROUND(12*(YEAR(B3)-YEAR(B2))+MONTH(B3)-MONTH(B2) +
 (DAY(B3)/(DATE(YEAR(B3),MONTH(B3)+1,1)-DATE(YEAR(B3),MONTH(B3),1))) -
 ((DAY(B2)-1)/(DATE(YEAR(B2),MONTH(B2)+1,1)-DATE(YEAR(B2),MONTH(B2),1))),2)</f>
        <v>60</v>
      </c>
      <c r="C5" s="15">
        <f>ROUND(12*(YEAR(C3)-YEAR(C2))+MONTH(C3)-MONTH(C2) +
 (DAY(C3)/(DATE(YEAR(C3),MONTH(C3)+1,1)-DATE(YEAR(C3),MONTH(C3),1))) -
 ((DAY(C2)-1)/(DATE(YEAR(C2),MONTH(C2)+1,1)-DATE(YEAR(C2),MONTH(C2),1))),2)</f>
        <v>12</v>
      </c>
      <c r="D5" s="15">
        <f>ROUND(IF(D4="",0,12*(YEAR(D3)-YEAR(D2))+MONTH(D3)-MONTH(D2) +
 (DAY(D3)/(DATE(YEAR(D3),MONTH(D3)+1,1)-DATE(YEAR(D3),MONTH(D3),1))) -
 ((DAY(D2)-1)/(DATE(YEAR(D2),MONTH(D2)+1,1)-DATE(YEAR(D2),MONTH(D2),1)))),2)</f>
        <v>12</v>
      </c>
      <c r="E5" s="93">
        <f>IF(E4="",0,ROUND((12*(YEAR(E3)-YEAR(E2))+MONTH(E3)-MONTH(E2)+
(DAY(E3)/(DATE(YEAR(E3),MONTH(E3)+1,1)-DATE(YEAR(E3),MONTH(E3),1)))-
((DAY(E2)-1)/(DATE(YEAR(E2),MONTH(E2)+1,1)-DATE(YEAR(E2),MONTH(E2),1)))),2))</f>
        <v>12</v>
      </c>
      <c r="F5" s="15">
        <f>IF(F4="",0,ROUND(12*(YEAR(F3)-YEAR(F2))+MONTH(F3)-MONTH(F2) +
 (DAY(F3)/(DATE(YEAR(F3),MONTH(F3)+1,1)-DATE(YEAR(F3),MONTH(F3),1))) -
 ((DAY(F2)-1)/(DATE(YEAR(F2),MONTH(F2)+1,1)-DATE(YEAR(F2),MONTH(F2),1))),2))</f>
        <v>12</v>
      </c>
      <c r="G5" s="15">
        <f>IF(G4="",0,ROUND(12*(YEAR(G3)-YEAR(G2))+MONTH(G3)-MONTH(G2) +
 (DAY(G3)/(DATE(YEAR(G3),MONTH(G3)+1,1)-DATE(YEAR(G3),MONTH(G3),1))) -
 ((DAY(G2)-1)/(DATE(YEAR(G2),MONTH(G2)+1,1)-DATE(YEAR(G2),MONTH(G2),1))),2))</f>
        <v>12</v>
      </c>
      <c r="I5" s="19"/>
      <c r="J5" s="20"/>
      <c r="K5" s="20"/>
      <c r="L5" s="4">
        <v>3</v>
      </c>
      <c r="M5" s="4">
        <v>3</v>
      </c>
      <c r="N5" s="4">
        <v>3</v>
      </c>
      <c r="O5" s="4">
        <v>3</v>
      </c>
      <c r="P5" s="4">
        <v>3</v>
      </c>
      <c r="Q5" s="4">
        <v>2</v>
      </c>
      <c r="R5" s="4">
        <v>1</v>
      </c>
      <c r="S5" s="4">
        <v>0</v>
      </c>
      <c r="T5" s="4">
        <v>1</v>
      </c>
      <c r="U5" s="4">
        <v>2</v>
      </c>
      <c r="V5" s="4">
        <v>3</v>
      </c>
      <c r="W5" s="4">
        <v>3</v>
      </c>
      <c r="X5" s="4">
        <v>3</v>
      </c>
    </row>
    <row r="6" spans="1:24" x14ac:dyDescent="0.2">
      <c r="A6" s="6" t="s">
        <v>21</v>
      </c>
      <c r="B6" s="7"/>
      <c r="C6" s="15">
        <f>IF(C4="",0,(IF(MONTH(C2)=2,(IF(C4="",0,IF(OR(C4="15/16",C4="19/20",C4="23/24",C4="27/28"),ROUND(YEARFRAC(C2,(DATE(YEAR(C8),MONTH(C8),DAY(C8))),1)*12,1),ROUND(YEARFRAC(C2,(DATE(YEAR(C8),MONTH(C8),DAY(C8)+1)),1)*12,1)))),(ROUND(YEARFRAC(C2,(DATE(YEAR(C8),MONTH(C8),DAY(C8))),1)*12,1)))))</f>
        <v>9</v>
      </c>
      <c r="D6" s="15">
        <f>IF(D4="",0,(IF(MONTH(D2)=2,(IF(D4="",0,IF(OR(D4="15/16",D4="19/20",D4="23/24",D4="27/28"),ROUND(YEARFRAC(D2,(DATE(YEAR(D8),MONTH(D8),DAY(D8))),1)*12,1),ROUND(YEARFRAC(D2,(DATE(YEAR(D8),MONTH(D8),DAY(D8)+1)),1)*12,1)))),(ROUND(YEARFRAC(D2,(DATE(YEAR(D8),MONTH(D8),DAY(D8))),1)*12,1)))))</f>
        <v>9</v>
      </c>
      <c r="E6" s="15">
        <f>IF(E4="",0,(IF(MONTH(E2)=2,(IF(E4="",0,IF(OR(E4="15/16",E4="19/20",E4="23/24",E4="27/28"),ROUND(YEARFRAC(E2,(DATE(YEAR(E8),MONTH(E8),DAY(E8))),1)*12,1),ROUND(YEARFRAC(E2,(DATE(YEAR(E8),MONTH(E8),DAY(E8)+1)),1)*12,1)))),(ROUND(YEARFRAC(E2,(DATE(YEAR(E8),MONTH(E8),DAY(E8))),1)*12,1)))))</f>
        <v>9</v>
      </c>
      <c r="F6" s="15">
        <f>IF(F4="",0,(IF(MONTH(F2)=2,(IF(F4="",0,IF(OR(F4="15/16",F4="19/20",F4="23/24",F4="27/28"),ROUND(YEARFRAC(F2,(DATE(YEAR(F8),MONTH(F8),DAY(F8))),1)*12,1),ROUND(YEARFRAC(F2,(DATE(YEAR(F8),MONTH(F8),DAY(F8)+1)),1)*12,1)))),(ROUND(YEARFRAC(F2,(DATE(YEAR(F8),MONTH(F8),DAY(F8))),1)*12,1)))))</f>
        <v>9</v>
      </c>
      <c r="G6" s="15">
        <f>IF(G4="",0,(IF(MONTH(G2)=2,(IF(G4="",0,IF(OR(G4="15/16",G4="19/20",G4="23/24",G4="27/28"),ROUND(YEARFRAC(G2,(DATE(YEAR(G8),MONTH(G8),DAY(G8))),1)*12,1),ROUND(YEARFRAC(G2,(DATE(YEAR(G8),MONTH(G8),DAY(G8)+1)),1)*12,1)))),(ROUND(YEARFRAC(G2,(DATE(YEAR(G8),MONTH(G8),DAY(G8))),1)*12,1)))))</f>
        <v>9</v>
      </c>
      <c r="H6" s="12"/>
      <c r="I6" s="19"/>
      <c r="J6" s="20"/>
      <c r="K6" s="20"/>
      <c r="L6" s="4">
        <v>4</v>
      </c>
      <c r="M6" s="4">
        <v>4</v>
      </c>
      <c r="N6" s="4">
        <v>4</v>
      </c>
      <c r="O6" s="4">
        <v>4</v>
      </c>
      <c r="P6" s="4">
        <v>3</v>
      </c>
      <c r="Q6" s="4">
        <v>2</v>
      </c>
      <c r="R6" s="4">
        <v>1</v>
      </c>
      <c r="S6" s="4">
        <v>1</v>
      </c>
      <c r="T6" s="4">
        <v>2</v>
      </c>
      <c r="U6" s="4">
        <v>3</v>
      </c>
      <c r="V6" s="4">
        <v>4</v>
      </c>
      <c r="W6" s="4">
        <v>4</v>
      </c>
      <c r="X6" s="4">
        <v>4</v>
      </c>
    </row>
    <row r="7" spans="1:24" x14ac:dyDescent="0.2">
      <c r="A7" s="6" t="s">
        <v>22</v>
      </c>
      <c r="B7" s="8"/>
      <c r="C7" s="8">
        <f>IF(ROUND(C5-C6,2)&lt;0,0,ROUND(C5-C6,2))</f>
        <v>3</v>
      </c>
      <c r="D7" s="8">
        <f>IF(ROUND(D5-D6,2)&lt;0,0,ROUND(D5-D6,2))</f>
        <v>3</v>
      </c>
      <c r="E7" s="244">
        <f>IF(ROUND(E5-E6,2)&lt;0,0,ROUND(E5-E6,2))</f>
        <v>3</v>
      </c>
      <c r="F7" s="8">
        <f>IF(ROUND(F5-F6,2)&lt;0,0,ROUND(F5-F6,2))</f>
        <v>3</v>
      </c>
      <c r="G7" s="8">
        <f>IF(ROUND(G5-G6,2)&lt;0,0,ROUND(G5-G6,2))</f>
        <v>3</v>
      </c>
      <c r="H7" s="16"/>
      <c r="I7" s="19"/>
      <c r="J7" s="20"/>
      <c r="K7" s="20"/>
      <c r="L7" s="4">
        <v>5</v>
      </c>
      <c r="M7" s="4">
        <v>5</v>
      </c>
      <c r="N7" s="4">
        <v>5</v>
      </c>
      <c r="O7" s="4">
        <v>4</v>
      </c>
      <c r="P7" s="4">
        <v>3</v>
      </c>
      <c r="Q7" s="4">
        <v>2</v>
      </c>
      <c r="R7" s="4">
        <v>2</v>
      </c>
      <c r="S7" s="4">
        <v>2</v>
      </c>
      <c r="T7" s="4">
        <v>3</v>
      </c>
      <c r="U7" s="4">
        <v>4</v>
      </c>
      <c r="V7" s="4">
        <v>5</v>
      </c>
      <c r="W7" s="4">
        <v>5</v>
      </c>
      <c r="X7" s="4">
        <v>5</v>
      </c>
    </row>
    <row r="8" spans="1:24" x14ac:dyDescent="0.2">
      <c r="A8" s="6" t="s">
        <v>38</v>
      </c>
      <c r="B8" s="5"/>
      <c r="C8" s="5" t="str">
        <f>IF(C4="14/15","7/01/2015",IF(C4="15/16","7/01/2016",IF(C4="16/17","7/01/2017",IF(C4="17/18","7/01/2018",IF(C4="18/19","7/01/2019",IF(C4="19/20","7/01/2020",IF(C4="20/21","7/01/2021",IF(C4="21/22","7/01/2022",IF(C4="22/23","7/01/2023",IF(C4="23/24","7/01/2024",IF(C4="24/25","7/01/2025",IF(C4="25/26","7/01/2026",IF(C4="26/27","7/01/2027",IF(C4="27/28","7/01/2028",IF(C4="28/29","7/01/2029",IF(C4="29/30","7/01/2030"))))))))))))))))</f>
        <v>7/01/2020</v>
      </c>
      <c r="D8" s="5" t="str">
        <f>IF(D4="","",IF(D4="14/15","7/01/2015",IF(D4="15/16","7/01/2016",IF(D4="16/17","7/01/2017",IF(D4="17/18","7/01/2018",IF(D4="18/19","7/01/2019",IF(D4="19/20","7/01/2020",IF(D4="20/21","7/01/2021",IF(D4="21/22","7/01/2022",IF(D4="22/23","7/01/2023",IF(D4="23/24","7/01/2024",IF(D4="24/25","7/01/2025",IF(D4="25/26","7/01/2026",IF(D4="26/27","7/01/2027",IF(D4="27/28","7/01/2028",IF(D4="28/29","7/01/2029",IF(D4="29/30","7/01/2030")))))))))))))))))</f>
        <v>7/01/2021</v>
      </c>
      <c r="E8" s="5" t="str">
        <f>IF(E4="","",IF(E4="14/15","7/01/2015",IF(E4="15/16","7/01/2016",IF(E4="16/17","7/01/2017",IF(E4="17/18","7/01/2018",IF(E4="18/19","7/01/2019",IF(E4="19/20","7/01/2020",IF(E4="20/21","7/01/2021",IF(E4="21/22","7/01/2022",IF(E4="22/23","7/01/2023",IF(E4="23/24","7/01/2024",IF(E4="24/25","7/01/2025",IF(E4="25/26","7/01/2026",IF(E4="26/27","7/01/2027",IF(E4="27/28","7/01/2028",IF(E4="28/29","7/01/2029",IF(E4="29/30","7/01/2030")))))))))))))))))</f>
        <v>7/01/2022</v>
      </c>
      <c r="F8" s="5" t="str">
        <f>IF(F4="","",IF(F4="14/15","7/01/2015",IF(F4="15/16","7/01/2016",IF(F4="16/17","7/01/2017",IF(F4="17/18","7/01/2018",IF(F4="18/19","7/01/2019",IF(F4="19/20","7/01/2020",IF(F4="20/21","7/01/2021",IF(F4="21/22","7/01/2022",IF(F4="22/23","7/01/2023",IF(F4="23/24","7/01/2024",IF(F4="24/25","7/01/2025",IF(F4="25/26","7/01/2026",IF(F4="26/27","7/01/2027",IF(F4="27/28","7/01/2028",IF(F4="28/29","7/01/2029",IF(F4="29/30","7/01/2030")))))))))))))))))</f>
        <v>7/01/2023</v>
      </c>
      <c r="G8" s="5" t="str">
        <f>IF(G4="","",IF(G4="14/15","7/01/2015",IF(G4="15/16","7/01/2016",IF(G4="16/17","7/01/2017",IF(G4="17/18","7/01/2018",IF(G4="18/19","7/01/2019",IF(G4="19/20","7/01/2020",IF(G4="20/21","7/01/2021",IF(G4="21/22","7/01/2022",IF(G4="22/23","7/01/2023",IF(G4="23/24","7/01/2024",IF(G4="24/25","7/01/2025",IF(G4="25/26","7/01/2026",IF(G4="26/27","7/01/2027",IF(G4="27/28","7/01/2028",IF(G4="28/29","7/01/2029",IF(G4="29/30","7/01/2030")))))))))))))))))</f>
        <v>7/01/2024</v>
      </c>
      <c r="H8" s="12"/>
      <c r="I8" s="19"/>
      <c r="J8" s="20"/>
      <c r="K8" s="20"/>
      <c r="L8" s="4">
        <v>6</v>
      </c>
      <c r="M8" s="4">
        <v>6</v>
      </c>
      <c r="N8" s="4">
        <v>5</v>
      </c>
      <c r="O8" s="4">
        <v>4</v>
      </c>
      <c r="P8" s="4">
        <v>3</v>
      </c>
      <c r="Q8" s="4">
        <v>3</v>
      </c>
      <c r="R8" s="4">
        <v>3</v>
      </c>
      <c r="S8" s="4">
        <v>3</v>
      </c>
      <c r="T8" s="4">
        <v>4</v>
      </c>
      <c r="U8" s="4">
        <v>5</v>
      </c>
      <c r="V8" s="4">
        <v>6</v>
      </c>
      <c r="W8" s="4">
        <v>6</v>
      </c>
      <c r="X8" s="4">
        <v>6</v>
      </c>
    </row>
    <row r="9" spans="1:24" x14ac:dyDescent="0.2">
      <c r="A9" s="6" t="s">
        <v>40</v>
      </c>
      <c r="B9" s="5"/>
      <c r="C9" s="14">
        <f>IF(C5&lt;C6,C5,IF(C5=C6,C5,IF(C5&gt;C6,C6)))</f>
        <v>9</v>
      </c>
      <c r="D9" s="14">
        <f>IF(D5&lt;D6,D5,IF(D5=D6,D5,IF(D5&gt;D6,D6)))</f>
        <v>9</v>
      </c>
      <c r="E9" s="14">
        <f>IF(E5&lt;E6,E5,IF(E5=E6,E5,IF(E5&gt;E6,E6)))</f>
        <v>9</v>
      </c>
      <c r="F9" s="14">
        <f>IF(F5&lt;F6,F5,IF(F5=F6,F5,IF(F5&gt;F6,F6)))</f>
        <v>9</v>
      </c>
      <c r="G9" s="14">
        <f>IF(G5&lt;G6,G5,IF(G5=G6,G5,IF(G5&gt;G6,G6)))</f>
        <v>9</v>
      </c>
      <c r="H9" s="12"/>
      <c r="I9" s="19"/>
      <c r="J9" s="20"/>
      <c r="K9" s="20"/>
      <c r="L9" s="4">
        <v>7</v>
      </c>
      <c r="M9" s="4">
        <v>6</v>
      </c>
      <c r="N9" s="4">
        <v>5</v>
      </c>
      <c r="O9" s="4">
        <v>4</v>
      </c>
      <c r="P9" s="4">
        <v>4</v>
      </c>
      <c r="Q9" s="4">
        <v>4</v>
      </c>
      <c r="R9" s="4">
        <v>4</v>
      </c>
      <c r="S9" s="4">
        <v>4</v>
      </c>
      <c r="T9" s="4">
        <v>5</v>
      </c>
      <c r="U9" s="4">
        <v>6</v>
      </c>
      <c r="V9" s="4">
        <v>7</v>
      </c>
      <c r="W9" s="4">
        <v>7</v>
      </c>
      <c r="X9" s="4">
        <v>7</v>
      </c>
    </row>
    <row r="10" spans="1:24" x14ac:dyDescent="0.2">
      <c r="A10" s="6" t="s">
        <v>39</v>
      </c>
      <c r="B10" s="5"/>
      <c r="C10" s="7">
        <f>ROUND(C5-C9,2)</f>
        <v>3</v>
      </c>
      <c r="D10" s="7">
        <f>IF(D4="",0,ROUND(D5-D9,2))</f>
        <v>3</v>
      </c>
      <c r="E10" s="7">
        <f>IF(E4="",0,ROUND(E5-E9,2))</f>
        <v>3</v>
      </c>
      <c r="F10" s="7">
        <f>IF(F4="",0,ROUND(F5-F9,2))</f>
        <v>3</v>
      </c>
      <c r="G10" s="7">
        <f>IF(G4="",0,ROUND(G5-G9,2))</f>
        <v>3</v>
      </c>
      <c r="H10" s="12"/>
      <c r="I10" s="19"/>
      <c r="J10" s="20"/>
      <c r="K10" s="20"/>
      <c r="L10" s="4">
        <v>8</v>
      </c>
      <c r="M10" s="4">
        <v>6</v>
      </c>
      <c r="N10" s="4">
        <v>5</v>
      </c>
      <c r="O10" s="4">
        <v>5</v>
      </c>
      <c r="P10" s="4">
        <v>5</v>
      </c>
      <c r="Q10" s="4">
        <v>5</v>
      </c>
      <c r="R10" s="4">
        <v>5</v>
      </c>
      <c r="S10" s="4">
        <v>5</v>
      </c>
      <c r="T10" s="4">
        <v>6</v>
      </c>
      <c r="U10" s="4">
        <v>7</v>
      </c>
      <c r="V10" s="4">
        <v>8</v>
      </c>
      <c r="W10" s="4">
        <v>8</v>
      </c>
      <c r="X10" s="4">
        <v>7</v>
      </c>
    </row>
    <row r="11" spans="1:24" x14ac:dyDescent="0.2">
      <c r="A11" s="6" t="s">
        <v>42</v>
      </c>
      <c r="B11" s="5"/>
      <c r="C11" s="18">
        <f>IF(AND(MONTH(C2)=9,DAY(C2)&lt;=5),1,IF(AND(MONTH(C2)=6,DAY(C2)&lt;=15),0.5,IF(AND(MONTH(C2)=7,DAY(C2)&lt;=15),3,IF(AND(MONTH(C2)=7,DAY(C2)&gt;15),2.5,IF(AND(MONTH(C2)=8,DAY(C2)&lt;=15),2,IF(AND(MONTH(C2)=8,DAY(C2)&gt;15),1.5,0.5))))))</f>
        <v>0.5</v>
      </c>
      <c r="D11" s="18">
        <f>IF(D4="",0,(IF(AND(MONTH(D2)=9,DAY(D2)&lt;=5),1,IF(AND(MONTH(D2)=6,DAY(D2)&lt;=15),0.5,IF(AND(MONTH(D2)=7,DAY(D2)&lt;=15),3,IF(AND(MONTH(D2)=7,DAY(D2)&gt;15),2.5,IF(AND(MONTH(D2)=8,DAY(D2)&lt;=15),2,IF(AND(MONTH(D2)=8,DAY(D2)&gt;15),1.5,0.5))))))))</f>
        <v>0.5</v>
      </c>
      <c r="E11" s="18">
        <f>IF(E4="",0,(IF(AND(MONTH(E2)=9,DAY(E2)&lt;=5),1,IF(AND(MONTH(E2)=6,DAY(E2)&lt;=15),0.5,IF(AND(MONTH(E2)=7,DAY(E2)&lt;=15),3,IF(AND(MONTH(E2)=7,DAY(E2)&gt;15),2.5,IF(AND(MONTH(E2)=8,DAY(E2)&lt;=15),2,IF(AND(MONTH(E2)=8,DAY(E2)&gt;15),1.5,0.5))))))))</f>
        <v>0.5</v>
      </c>
      <c r="F11" s="18">
        <f>IF(F4="",0,(IF(AND(MONTH(F2)=9,DAY(F2)&lt;=5),1,IF(AND(MONTH(F2)=6,DAY(F2)&lt;=15),0.5,IF(AND(MONTH(F2)=7,DAY(F2)&lt;=15),3,IF(AND(MONTH(F2)=7,DAY(F2)&gt;15),2.5,IF(AND(MONTH(F2)=8,DAY(F2)&lt;=15),2,IF(AND(MONTH(F2)=8,DAY(F2)&gt;15),1.5,0.5))))))))</f>
        <v>0.5</v>
      </c>
      <c r="G11" s="18">
        <f>IF(G4="",0,(IF(AND(MONTH(G2)=9,DAY(G2)&lt;=5),1,IF(AND(MONTH(G2)=6,DAY(G2)&lt;=15),0.5,IF(AND(MONTH(G2)=7,DAY(G2)&lt;=15),3,IF(AND(MONTH(G2)=7,DAY(G2)&gt;15),2.5,IF(AND(MONTH(G2)=8,DAY(G2)&lt;=15),2,IF(AND(MONTH(G2)=8,DAY(G2)&gt;15),1.5,0.5))))))))</f>
        <v>0.5</v>
      </c>
      <c r="H11" s="12"/>
      <c r="I11" s="19"/>
      <c r="J11" s="20"/>
      <c r="K11" s="20"/>
      <c r="L11" s="4">
        <v>9</v>
      </c>
      <c r="M11" s="4">
        <v>6</v>
      </c>
      <c r="N11" s="4">
        <v>6</v>
      </c>
      <c r="O11" s="4">
        <v>6</v>
      </c>
      <c r="P11" s="4">
        <v>6</v>
      </c>
      <c r="Q11" s="4">
        <v>6</v>
      </c>
      <c r="R11" s="4">
        <v>6</v>
      </c>
      <c r="S11" s="4">
        <v>6</v>
      </c>
      <c r="T11" s="4">
        <v>7</v>
      </c>
      <c r="U11" s="4">
        <v>8</v>
      </c>
      <c r="V11" s="4">
        <v>9</v>
      </c>
      <c r="W11" s="4">
        <v>8</v>
      </c>
      <c r="X11" s="4">
        <v>7</v>
      </c>
    </row>
    <row r="12" spans="1:24" x14ac:dyDescent="0.2">
      <c r="A12" s="6" t="s">
        <v>43</v>
      </c>
      <c r="B12" s="5"/>
      <c r="C12" s="7">
        <f>3-C11</f>
        <v>2.5</v>
      </c>
      <c r="D12" s="7">
        <f>IF(D4="",0,3-D11)</f>
        <v>2.5</v>
      </c>
      <c r="E12" s="7">
        <f>IF(E4="",0,3-E11)</f>
        <v>2.5</v>
      </c>
      <c r="F12" s="7">
        <f>IF(F4="",0,3-F11)</f>
        <v>2.5</v>
      </c>
      <c r="G12" s="7">
        <f>IF(G4="",0,3-G11)</f>
        <v>2.5</v>
      </c>
      <c r="H12" s="12"/>
      <c r="I12" s="19"/>
      <c r="J12" s="20"/>
      <c r="K12" s="20"/>
      <c r="L12" s="4">
        <v>10</v>
      </c>
      <c r="M12" s="4">
        <v>7</v>
      </c>
      <c r="N12" s="4">
        <v>7</v>
      </c>
      <c r="O12" s="4">
        <v>7</v>
      </c>
      <c r="P12" s="4">
        <v>7</v>
      </c>
      <c r="Q12" s="4">
        <v>7</v>
      </c>
      <c r="R12" s="4">
        <v>7</v>
      </c>
      <c r="S12" s="4">
        <v>7</v>
      </c>
      <c r="T12" s="4">
        <v>8</v>
      </c>
      <c r="U12" s="4">
        <v>9</v>
      </c>
      <c r="V12" s="4">
        <v>9</v>
      </c>
      <c r="W12" s="4">
        <v>8</v>
      </c>
      <c r="X12" s="4">
        <v>7</v>
      </c>
    </row>
    <row r="13" spans="1:24" x14ac:dyDescent="0.2">
      <c r="A13" s="61" t="s">
        <v>44</v>
      </c>
      <c r="B13" s="62"/>
      <c r="C13" s="63">
        <f>IF(C9&gt;=C11,C11,C9)</f>
        <v>0.5</v>
      </c>
      <c r="D13" s="63">
        <f>IF(D9&gt;=D11,D11,D9)</f>
        <v>0.5</v>
      </c>
      <c r="E13" s="63">
        <f t="shared" ref="E13:G14" si="0">IF(E9&gt;=E11,E11,E9)</f>
        <v>0.5</v>
      </c>
      <c r="F13" s="63">
        <f t="shared" si="0"/>
        <v>0.5</v>
      </c>
      <c r="G13" s="63">
        <f t="shared" si="0"/>
        <v>0.5</v>
      </c>
      <c r="H13" s="12"/>
      <c r="L13" s="4">
        <v>11</v>
      </c>
      <c r="M13" s="4">
        <v>8</v>
      </c>
      <c r="N13" s="4">
        <v>8</v>
      </c>
      <c r="O13" s="4">
        <v>8</v>
      </c>
      <c r="P13" s="4">
        <v>8</v>
      </c>
      <c r="Q13" s="4">
        <v>8</v>
      </c>
      <c r="R13" s="4">
        <v>8</v>
      </c>
      <c r="S13" s="4">
        <v>8</v>
      </c>
      <c r="T13" s="4">
        <v>9</v>
      </c>
      <c r="U13" s="4">
        <v>9</v>
      </c>
      <c r="V13" s="4">
        <v>9</v>
      </c>
      <c r="W13" s="4">
        <v>8</v>
      </c>
      <c r="X13" s="4">
        <v>8</v>
      </c>
    </row>
    <row r="14" spans="1:24" x14ac:dyDescent="0.2">
      <c r="A14" s="61" t="s">
        <v>45</v>
      </c>
      <c r="B14" s="62"/>
      <c r="C14" s="63">
        <f>IF(C10&gt;=C12,C12,C10)</f>
        <v>2.5</v>
      </c>
      <c r="D14" s="63">
        <f>IF(D10&gt;=D12,D12,D10)</f>
        <v>2.5</v>
      </c>
      <c r="E14" s="63">
        <f t="shared" si="0"/>
        <v>2.5</v>
      </c>
      <c r="F14" s="63">
        <f t="shared" si="0"/>
        <v>2.5</v>
      </c>
      <c r="G14" s="63">
        <f t="shared" si="0"/>
        <v>2.5</v>
      </c>
      <c r="H14" s="12"/>
      <c r="L14" s="4">
        <v>12</v>
      </c>
      <c r="M14" s="4">
        <v>9</v>
      </c>
      <c r="N14" s="4">
        <v>9</v>
      </c>
      <c r="O14" s="4">
        <v>9</v>
      </c>
      <c r="P14" s="4">
        <v>9</v>
      </c>
      <c r="Q14" s="4">
        <v>9</v>
      </c>
      <c r="R14" s="4">
        <v>9</v>
      </c>
      <c r="S14" s="4">
        <v>9</v>
      </c>
      <c r="T14" s="4">
        <v>9</v>
      </c>
      <c r="U14" s="4">
        <v>9</v>
      </c>
      <c r="V14" s="4">
        <v>9</v>
      </c>
      <c r="W14" s="4">
        <v>9</v>
      </c>
      <c r="X14" s="4">
        <v>9</v>
      </c>
    </row>
    <row r="15" spans="1:24" x14ac:dyDescent="0.2">
      <c r="A15" s="6" t="s">
        <v>47</v>
      </c>
      <c r="B15" s="5">
        <f ca="1">IF(Request!T1="",TODAY(),Request!T1)</f>
        <v>43661</v>
      </c>
      <c r="C15" s="217"/>
      <c r="D15" s="218"/>
      <c r="E15" s="218"/>
      <c r="F15" s="218"/>
      <c r="G15" s="219"/>
      <c r="H15" s="12"/>
      <c r="L15" s="4"/>
      <c r="M15" s="4">
        <f>IF(C2="",0,MONTH(C2))</f>
        <v>10</v>
      </c>
      <c r="N15" s="4">
        <f>IF(D2="",0,MONTH(D2))</f>
        <v>10</v>
      </c>
      <c r="O15" s="4">
        <f>IF(E2="",0,MONTH(E2))</f>
        <v>10</v>
      </c>
      <c r="P15" s="4">
        <f>IF(F2="",0,MONTH(F2))</f>
        <v>10</v>
      </c>
      <c r="Q15" s="4">
        <f>IF(G2="",0,MONTH(G2))</f>
        <v>10</v>
      </c>
      <c r="R15" s="4"/>
      <c r="S15" s="4"/>
      <c r="T15" s="4"/>
      <c r="U15" s="4"/>
      <c r="V15" s="4"/>
      <c r="W15" s="4"/>
      <c r="X15" s="4"/>
    </row>
    <row r="16" spans="1:24" x14ac:dyDescent="0.2">
      <c r="A16" s="6" t="s">
        <v>49</v>
      </c>
      <c r="B16" s="5" t="str">
        <f ca="1">IF(AND(B15&gt;DATEVALUE("6/30/2014"),B15&lt;DATEVALUE("7/1/2015")),"14/15",IF(AND(B15&gt;DATEVALUE("6/30/2015"),B15&lt;DATEVALUE("7/1/2016")),"15/16",IF(AND(B15&gt;DATEVALUE("6/30/2016"),B15&lt;DATEVALUE("7/1/2017")),"16/17",IF(AND(B15&gt;DATEVALUE("6/30/2017"),B15&lt;DATEVALUE("7/1/2018")),"17/18",IF(AND(B15&gt;DATEVALUE("6/30/2018"),B15&lt;DATEVALUE("7/1/2019")),"18/19",IF(AND(B15&gt;DATEVALUE("6/30/2019"),B15&lt;DATEVALUE("7/1/2020")),"19/20",IF(AND(B15&gt;DATEVALUE("6/30/2020"),B15&lt;DATEVALUE("7/1/2021")),"20/21",IF(AND(B15&gt;DATEVALUE("6/30/2021"),B15&lt;DATEVALUE("7/1/2022")),"21/22",IF(AND(B15&gt;DATEVALUE("6/30/2022"),B15&lt;DATEVALUE("7/1/2023")),"22/23",IF(AND(B15&gt;DATEVALUE("6/30/2023"),B15&lt;DATEVALUE("7/1/2024")),"23/24",IF(AND(B15&gt;DATEVALUE("6/30/2024"),B16&lt;DATEVALUE("7/1/2025")),"24/25")))))))))))</f>
        <v>19/20</v>
      </c>
      <c r="C16" s="332" t="s">
        <v>176</v>
      </c>
      <c r="D16" s="333"/>
      <c r="E16" s="333"/>
      <c r="F16" s="333"/>
      <c r="G16" s="334"/>
      <c r="H16" s="12"/>
      <c r="M16" s="4">
        <f>IF(M15=$M$2,INDEX($M$3:$M$14,MATCH(ROUNDUP(C5,0),$L$3:$L$14,0)),IF(M15=$N$2,INDEX($N$3:$N$14,MATCH(ROUNDUP(C5,0),$L$3:$L$14,0)),IF(M15=$O$2,INDEX($O$3:$O$14,MATCH(ROUNDUP(C5,0),$L$3:$L$14,0)),IF(M15=$P$2,INDEX($P$3:$P$14,MATCH(ROUNDUP(C5,0),$L$3:$L$14,0)),IF(M15=$Q$2,INDEX($Q$3:$Q$14,MATCH(ROUNDUP(C5,0),$L$3:$L$14,0)),IF(M15=$R$2,INDEX($R$3:$R$14,MATCH(ROUNDUP(C5,0),$L$3:$L$14,0)),IF(M15=$S$2,INDEX($S$3:$S$14,MATCH(ROUNDUP(C5,0),$L$3:$L$14,0)),IF(M15=$T$2,INDEX($T$3:$T$14,MATCH(ROUNDUP(C5,0),$L$3:$L$14,0)),IF(M15=$U$2,INDEX($U$3:$U$14,MATCH(ROUNDUP(C5,0),$L$3:$L$14,0)),IF(M15=$V$2,INDEX($V$3:$V$14,MATCH(ROUNDUP(C5,0),$L$3:$L$14,0)),IF(M15=$W$2,INDEX($W$3:$W$14,MATCH(ROUNDUP(C5,0),$L$3:$L$14,0)),IF(M15=$X$2,INDEX($X$3:$X$14,MATCH(ROUNDUP(C5,0),$L$3:$L$14,0))))))))))))))</f>
        <v>9</v>
      </c>
      <c r="N16" s="4">
        <f>IF(N15=0,0,IF(N15=$M$2,INDEX($M$3:$M$14,MATCH(ROUNDUP(D5,0),$L$3:$L$14,0)),IF(N15=$N$2,INDEX($N$3:$N$14,MATCH(ROUNDUP(D5,0),$L$3:$L$14,0)),IF(N15=$O$2,INDEX($O$3:$O$14,MATCH(ROUNDUP(D5,0),$L$3:$L$14,0)),IF(N15=$P$2,INDEX($P$3:$P$14,MATCH(ROUNDUP(D5,0),$L$3:$L$14,0)),IF(N15=$Q$2,INDEX($Q$3:$Q$14,MATCH(ROUNDUP(D5,0),$L$3:$L$14,0)),IF(N15=$R$2,INDEX($R$3:$R$14,MATCH(ROUNDUP(D5,0),$L$3:$L$14,0)),IF(N15=$S$2,INDEX($S$3:$S$14,MATCH(ROUNDUP(D5,0),$L$3:$L$14,0)),IF(N15=$T$2,INDEX($T$3:$T$14,MATCH(ROUNDUP(D5,0),$L$3:$L$14,0)),IF(N15=$U$2,INDEX($U$3:$U$14,MATCH(ROUNDUP(D5,0),$L$3:$L$14,0)),IF(N15=$V$2,INDEX($V$3:$V$14,MATCH(ROUNDUP(D5,0),$L$3:$L$14,0)),IF(N15=$W$2,INDEX($W$3:$W$14,MATCH(ROUNDUP(D5,0),$L$3:$L$14,0)),IF(N15=$X$2,INDEX($X$3:$X$14,MATCH(ROUNDUP(D5,0),$L$3:$L$14,0)))))))))))))))</f>
        <v>9</v>
      </c>
      <c r="O16" s="4">
        <f>IF(O15=0,0,IF(O15=$M$2,INDEX($M$3:$M$14,MATCH(ROUNDUP(E5,0),$L$3:$L$14,0)),IF(O15=$N$2,INDEX($N$3:$N$14,MATCH(ROUNDUP(E5,0),$L$3:$L$14,0)),IF(O15=$O$2,INDEX($O$3:$O$14,MATCH(ROUNDUP(E5,0),$L$3:$L$14,0)),IF(O15=$P$2,INDEX($P$3:$P$14,MATCH(ROUNDUP(E5,0),$L$3:$L$14,0)),IF(O15=$Q$2,INDEX($Q$3:$Q$14,MATCH(ROUNDUP(E5,0),$L$3:$L$14,0)),IF(O15=$R$2,INDEX($R$3:$R$14,MATCH(ROUNDUP(E5,0),$L$3:$L$14,0)),IF(O15=$S$2,INDEX($S$3:$S$14,MATCH(ROUNDUP(E5,0),$L$3:$L$14,0)),IF(O15=$T$2,INDEX($T$3:$T$14,MATCH(ROUNDUP(E5,0),$L$3:$L$14,0)),IF(O15=$U$2,INDEX($U$3:$U$14,MATCH(ROUNDUP(E5,0),$L$3:$L$14,0)),IF(O15=$V$2,INDEX($V$3:$V$14,MATCH(ROUNDUP(E5,0),$L$3:$L$14,0)),IF(O15=$W$2,INDEX($W$3:$W$14,MATCH(ROUNDUP(E5,0),$L$3:$L$14,0)),IF(O15=$X$2,INDEX($X$3:$X$14,MATCH(ROUNDUP(E5,0),$L$3:$L$14,0)))))))))))))))</f>
        <v>9</v>
      </c>
      <c r="P16" s="4">
        <f>IF(P15=0,0,IF(P15=$M$2,INDEX($M$3:$M$14,MATCH(ROUNDUP(F5,0),$L$3:$L$14,0)),IF(P15=$N$2,INDEX($N$3:$N$14,MATCH(ROUNDUP(F5,0),$L$3:$L$14,0)),IF(P15=$O$2,INDEX($O$3:$O$14,MATCH(ROUNDUP(F5,0),$L$3:$L$14,0)),IF(P15=$P$2,INDEX($P$3:$P$14,MATCH(ROUNDUP(F5,0),$L$3:$L$14,0)),IF(P15=$Q$2,INDEX($Q$3:$Q$14,MATCH(ROUNDUP(F5,0),$L$3:$L$14,0)),IF(P15=$R$2,INDEX($R$3:$R$14,MATCH(ROUNDUP(F5,0),$L$3:$L$14,0)),IF(P15=$S$2,INDEX($S$3:$S$14,MATCH(ROUNDUP(F5,0),$L$3:$L$14,0)),IF(P15=$T$2,INDEX($T$3:$T$14,MATCH(ROUNDUP(F5,0),$L$3:$L$14,0)),IF(P15=$U$2,INDEX($U$3:$U$14,MATCH(ROUNDUP(F5,0),$L$3:$L$14,0)),IF(P15=$V$2,INDEX($V$3:$V$14,MATCH(ROUNDUP(F5,0),$L$3:$L$14,0)),IF(P15=$W$2,INDEX($W$3:$W$14,MATCH(ROUNDUP(F5,0),$L$3:$L$14,0)),IF(P15=$X$2,INDEX($X$3:$X$14,MATCH(ROUNDUP(F5,0),$L$3:$L$14,0)))))))))))))))</f>
        <v>9</v>
      </c>
      <c r="Q16" s="4">
        <f>IF(Q15=0,0,IF(Q15=$M$2,INDEX($M$3:$M$14,MATCH(ROUNDUP(G5,0),$L$3:$L$14,0)),IF(Q15=$N$2,INDEX($N$3:$N$14,MATCH(ROUNDUP(G5,0),$L$3:$L$14,0)),IF(Q15=$O$2,INDEX($O$3:$O$14,MATCH(ROUNDUP(G5,0),$L$3:$L$14,0)),IF(Q15=$P$2,INDEX($P$3:$P$14,MATCH(ROUNDUP(G5,0),$L$3:$L$14,0)),IF(Q15=$Q$2,INDEX($Q$3:$Q$14,MATCH(ROUNDUP(G5,0),$L$3:$L$14,0)),IF(Q15=$R$2,INDEX($R$3:$R$14,MATCH(ROUNDUP(G5,0),$L$3:$L$14,0)),IF(Q15=$S$2,INDEX($S$3:$S$14,MATCH(ROUNDUP(G5,0),$L$3:$L$14,0)),IF(Q15=$T$2,INDEX($T$3:$T$14,MATCH(ROUNDUP(G5,0),$L$3:$L$14,0)),IF(Q15=$U$2,INDEX($U$3:$U$14,MATCH(ROUNDUP(G5,0),$L$3:$L$14,0)),IF(Q15=$V$2,INDEX($V$3:$V$14,MATCH(ROUNDUP(G5,0),$L$3:$L$14,0)),IF(Q15=$W$2,INDEX($W$3:$W$14,MATCH(ROUNDUP(G5,0),$L$3:$L$14,0)),IF(Q15=$X$2,INDEX($X$3:$X$14,MATCH(ROUNDUP(G5,0),$L$3:$L$14,0)))))))))))))))</f>
        <v>9</v>
      </c>
      <c r="R16" s="4"/>
      <c r="S16" s="4"/>
      <c r="T16" s="4"/>
      <c r="U16" s="4"/>
      <c r="V16" s="4"/>
      <c r="W16" s="4"/>
      <c r="X16" s="4"/>
    </row>
    <row r="17" spans="1:11" x14ac:dyDescent="0.2">
      <c r="A17" s="6" t="s">
        <v>50</v>
      </c>
      <c r="B17" s="5" t="str">
        <f ca="1">IF(B16="14/15",("7/01/2015"),IF(B16="15/16",("7/01/2016"),IF(B16="16/17",("7/01/2017"),IF(B16="17/18",("7/01/2018"),IF(B16="18/19",("7/01/2019"),IF(B16="19/20",("7/01/2020"),IF(B16="20/21",("7/01/2021"),IF(B16="21/22",("7/01/2022"),IF(B16="22/23",("7/01/2023"),IF(B16="23/27",("7/01/2024"),IF(B16="24/25",("7/01/2025"))))))))))))</f>
        <v>7/01/2020</v>
      </c>
      <c r="C17" s="23">
        <f>(DATE(YEAR(C2),MONTH(C2)+C6,DAY(C2)-1))</f>
        <v>44012</v>
      </c>
      <c r="D17" s="23">
        <f>IF(D2="","",(DATE(YEAR(D2),MONTH(D2)+D6,DAY(D2)-1)))</f>
        <v>44377</v>
      </c>
      <c r="E17" s="23">
        <f>IF(E2="","",(DATE(YEAR(E2),MONTH(E2)+E6,DAY(E2)-1)))</f>
        <v>44742</v>
      </c>
      <c r="F17" s="23">
        <f>IF(F2="","",(DATE(YEAR(F2),MONTH(F2)+F6,DAY(F2)-1)))</f>
        <v>45107</v>
      </c>
      <c r="G17" s="134">
        <f>IF(G2="","",(DATE(YEAR(G2),MONTH(G2)+G6,DAY(G2)-1)))</f>
        <v>45473</v>
      </c>
      <c r="H17" s="12"/>
    </row>
    <row r="18" spans="1:11" x14ac:dyDescent="0.2">
      <c r="A18" s="6" t="s">
        <v>48</v>
      </c>
      <c r="B18" s="93">
        <f ca="1">ROUND(IF(B16="","",YEARFRAC(B15,(DATE(YEAR(B17),MONTH(B17),DAY(B17)+1)),1)*12),3)</f>
        <v>11.574</v>
      </c>
      <c r="C18" s="26">
        <f>(DATE(YEAR(C2),MONTH(C2)+C6,DAY(C2)))</f>
        <v>44013</v>
      </c>
      <c r="D18" s="26">
        <f>IF(D2="","",(DATE(YEAR(D2),MONTH(D2)+D6,DAY(D2))))</f>
        <v>44378</v>
      </c>
      <c r="E18" s="26">
        <f>IF(E2="","",(DATE(YEAR(E2),MONTH(E2)+E6,DAY(E2))))</f>
        <v>44743</v>
      </c>
      <c r="F18" s="26">
        <f>IF(F2="","",(DATE(YEAR(F2),MONTH(F2)+F6,DAY(F2))))</f>
        <v>45108</v>
      </c>
      <c r="G18" s="135">
        <f>IF(G2="","",(DATE(YEAR(G2),MONTH(G2)+G6,DAY(G2))))</f>
        <v>45474</v>
      </c>
      <c r="H18" s="12"/>
    </row>
    <row r="19" spans="1:11" x14ac:dyDescent="0.2">
      <c r="A19" s="6" t="s">
        <v>51</v>
      </c>
      <c r="B19" s="93">
        <f ca="1">ROUND(YEARFRAC(B15,(DATE(YEAR(B2),MONTH(B2),DAY(B2)+1)),1)*12,3)</f>
        <v>2.597</v>
      </c>
      <c r="C19" s="28">
        <f>C3</f>
        <v>44104</v>
      </c>
      <c r="D19" s="28">
        <f>D3</f>
        <v>44469</v>
      </c>
      <c r="E19" s="28">
        <f>E3</f>
        <v>44834</v>
      </c>
      <c r="F19" s="28">
        <f>F3</f>
        <v>45199</v>
      </c>
      <c r="G19" s="136">
        <f>G3</f>
        <v>45565</v>
      </c>
      <c r="H19" s="12"/>
    </row>
    <row r="20" spans="1:11" x14ac:dyDescent="0.2">
      <c r="A20" s="6" t="s">
        <v>52</v>
      </c>
      <c r="B20" s="7">
        <f ca="1">IF(B18&gt;B19,0,IF(B19&gt;=B18,ROUNDDOWN((B19-B18)/12+1,0)))</f>
        <v>0</v>
      </c>
      <c r="C20" s="28"/>
      <c r="D20" s="29"/>
      <c r="E20" s="29"/>
      <c r="F20" s="29"/>
      <c r="G20" s="30"/>
      <c r="H20" s="12"/>
    </row>
    <row r="21" spans="1:11" x14ac:dyDescent="0.2">
      <c r="A21" s="6" t="s">
        <v>83</v>
      </c>
      <c r="B21" s="87" t="str">
        <f ca="1">IF(C22=TRUE,C21,DATE(YEAR(C21)+1,MONTH(C21),DAY(C21)))</f>
        <v>10/1/2019</v>
      </c>
      <c r="C21" s="23" t="str">
        <f ca="1">IF(B16="14/15",("10/01/2014"),IF(B16="15/16",("10/01/2015"),IF(B16="16/17",("10/01/2016"),IF(B16="17/18",("10/1/2017"),IF(B16="18/19",("10/1/2018"),IF(B16="19/20",("10/1/2019"),IF(B16="20/21",("10/1/2020"),IF(B16="21/22",("10/1/2021"),IF(B16="22/23",("10/1/2022"),IF(B16="23/24",("10/1/2023"),IF(B16="24/25",("10/1/2024"),IF(B16="25/26",("10/1/2025"),IF(B16="26/27",("10/1/2026"))))))))))))))</f>
        <v>10/1/2019</v>
      </c>
      <c r="D21" s="24"/>
      <c r="E21" s="24"/>
      <c r="F21" s="24"/>
      <c r="G21" s="25"/>
      <c r="H21" s="12"/>
    </row>
    <row r="22" spans="1:11" x14ac:dyDescent="0.2">
      <c r="A22" s="6" t="s">
        <v>84</v>
      </c>
      <c r="B22" s="7">
        <f ca="1">ROUND(IF(B16="","",YEARFRAC(B15,(DATE(YEAR(B21),MONTH(B21),DAY(B21)+1)),1)*12),1)</f>
        <v>2.6</v>
      </c>
      <c r="C22" s="26" t="b">
        <f ca="1">(DATE(YEAR(C21),MONTH(C21),DAY(C21))&gt;(DATE(YEAR(B15),MONTH(B15),DAY(B15))))</f>
        <v>1</v>
      </c>
      <c r="D22" s="13"/>
      <c r="E22" s="13"/>
      <c r="F22" s="13"/>
      <c r="G22" s="27"/>
      <c r="H22" s="12"/>
    </row>
    <row r="23" spans="1:11" x14ac:dyDescent="0.2">
      <c r="A23" s="6" t="s">
        <v>85</v>
      </c>
      <c r="B23" s="7">
        <f ca="1">ROUND(YEARFRAC(B15,(DATE(YEAR(B2),MONTH(B2),DAY(B2)+1)),1)*12,3)</f>
        <v>2.597</v>
      </c>
      <c r="C23" s="26"/>
      <c r="D23" s="13"/>
      <c r="E23" s="13"/>
      <c r="F23" s="13"/>
      <c r="G23" s="27"/>
      <c r="H23" s="12"/>
    </row>
    <row r="24" spans="1:11" x14ac:dyDescent="0.2">
      <c r="A24" s="6" t="s">
        <v>86</v>
      </c>
      <c r="B24" s="7">
        <f ca="1">B20</f>
        <v>0</v>
      </c>
      <c r="C24" s="245" t="str">
        <f>IF(C6&lt;C5,"A","B")</f>
        <v>A</v>
      </c>
      <c r="D24" s="245" t="str">
        <f>IF(D6&lt;D5,"A","B")</f>
        <v>A</v>
      </c>
      <c r="E24" s="245" t="str">
        <f>IF(E6&lt;E5,"A","B")</f>
        <v>A</v>
      </c>
      <c r="F24" s="245" t="str">
        <f>IF(F6&lt;F5,"A","B")</f>
        <v>A</v>
      </c>
      <c r="G24" s="5" t="str">
        <f>IF(G6&lt;G5,"A","B")</f>
        <v>A</v>
      </c>
      <c r="H24" s="12"/>
    </row>
    <row r="25" spans="1:11" x14ac:dyDescent="0.2">
      <c r="A25" s="6" t="s">
        <v>97</v>
      </c>
      <c r="B25" s="7"/>
      <c r="C25" s="7">
        <f>IF(C24="A",(IF(M16&lt;=C6,M16,C6)),(IF(M16&lt;=C5,M16,ROUNDUP(C5,0))))</f>
        <v>9</v>
      </c>
      <c r="D25" s="7">
        <f>IF(D24="A",(IF(N16&lt;=D6,N16,D6)),(IF(N16&lt;=D5,N16,ROUNDUP(D5,0))))</f>
        <v>9</v>
      </c>
      <c r="E25" s="7">
        <f>IF(E24="A",(IF(O16&lt;=E6,O16,E6)),(IF(O16&lt;=E5,O16,ROUNDUP(E5,0))))</f>
        <v>9</v>
      </c>
      <c r="F25" s="7">
        <f>IF(F24="A",(IF(P16&lt;=F6,P16,F6)),(IF(P16&lt;=F5,P16,ROUNDUP(F5,0))))</f>
        <v>9</v>
      </c>
      <c r="G25" s="7">
        <f>IF(G24="A",(IF(Q16&lt;=G6,Q16,G6)),(IF(Q16&lt;=G5,Q16,ROUNDUP(G5,0))))</f>
        <v>9</v>
      </c>
      <c r="H25" s="12"/>
    </row>
    <row r="26" spans="1:11" x14ac:dyDescent="0.2">
      <c r="A26" s="6" t="s">
        <v>98</v>
      </c>
      <c r="B26" s="7"/>
      <c r="C26" s="14">
        <f>M16-C25</f>
        <v>0</v>
      </c>
      <c r="D26" s="14">
        <f>(N16-D25)</f>
        <v>0</v>
      </c>
      <c r="E26" s="14">
        <f>O16-E25</f>
        <v>0</v>
      </c>
      <c r="F26" s="14">
        <f>P16-F25</f>
        <v>0</v>
      </c>
      <c r="G26" s="14">
        <f>Q16-G25</f>
        <v>0</v>
      </c>
      <c r="H26" s="12"/>
    </row>
    <row r="27" spans="1:11" x14ac:dyDescent="0.2">
      <c r="A27" s="6" t="s">
        <v>99</v>
      </c>
      <c r="B27" s="7"/>
      <c r="C27" s="7">
        <f t="shared" ref="C27:G28" si="1">C25</f>
        <v>9</v>
      </c>
      <c r="D27" s="7">
        <f t="shared" si="1"/>
        <v>9</v>
      </c>
      <c r="E27" s="7">
        <f t="shared" si="1"/>
        <v>9</v>
      </c>
      <c r="F27" s="7">
        <f t="shared" si="1"/>
        <v>9</v>
      </c>
      <c r="G27" s="7">
        <f t="shared" si="1"/>
        <v>9</v>
      </c>
      <c r="H27" s="12"/>
    </row>
    <row r="28" spans="1:11" x14ac:dyDescent="0.2">
      <c r="A28" s="6" t="s">
        <v>100</v>
      </c>
      <c r="B28" s="5"/>
      <c r="C28" s="7">
        <f t="shared" si="1"/>
        <v>0</v>
      </c>
      <c r="D28" s="7">
        <f t="shared" si="1"/>
        <v>0</v>
      </c>
      <c r="E28" s="7">
        <f t="shared" si="1"/>
        <v>0</v>
      </c>
      <c r="F28" s="7">
        <f t="shared" si="1"/>
        <v>0</v>
      </c>
      <c r="G28" s="7">
        <f t="shared" si="1"/>
        <v>0</v>
      </c>
      <c r="H28" s="12"/>
    </row>
    <row r="29" spans="1:11" x14ac:dyDescent="0.2">
      <c r="A29" s="6" t="s">
        <v>142</v>
      </c>
      <c r="B29" s="5"/>
      <c r="C29" s="7">
        <f>C27+C28</f>
        <v>9</v>
      </c>
      <c r="D29" s="7">
        <f>D27+D28</f>
        <v>9</v>
      </c>
      <c r="E29" s="7">
        <f>E27+E28</f>
        <v>9</v>
      </c>
      <c r="F29" s="7">
        <f>F27+F28</f>
        <v>9</v>
      </c>
      <c r="G29" s="7">
        <f>G27+G28</f>
        <v>9</v>
      </c>
      <c r="H29" s="12"/>
    </row>
    <row r="30" spans="1:11" x14ac:dyDescent="0.2">
      <c r="A30" s="6" t="s">
        <v>143</v>
      </c>
      <c r="B30" s="5"/>
      <c r="C30" s="7">
        <f>IF(C29=0,0,IF(C29&lt;4,1,IF(C29&lt;7,2,3)))</f>
        <v>3</v>
      </c>
      <c r="D30" s="7">
        <f>IF(D29=0,0,IF(D29&lt;4,1,IF(D29&lt;7,2,3)))</f>
        <v>3</v>
      </c>
      <c r="E30" s="7">
        <f>IF(E29=0,0,IF(E29&lt;4,1,IF(E29&lt;7,2,3)))</f>
        <v>3</v>
      </c>
      <c r="F30" s="7">
        <f>IF(F29=0,0,IF(F29&lt;4,1,IF(F29&lt;7,2,3)))</f>
        <v>3</v>
      </c>
      <c r="G30" s="7">
        <f>IF(G29=0,0,IF(G29&lt;4,1,IF(G29&lt;7,2,3)))</f>
        <v>3</v>
      </c>
      <c r="H30" s="12"/>
    </row>
    <row r="31" spans="1:11" x14ac:dyDescent="0.2">
      <c r="A31" s="3"/>
      <c r="B31" s="13"/>
      <c r="C31" s="22"/>
      <c r="D31" s="22"/>
      <c r="E31" s="22"/>
      <c r="F31" s="22"/>
      <c r="G31" s="22"/>
      <c r="H31" s="12"/>
    </row>
    <row r="32" spans="1:11" x14ac:dyDescent="0.2">
      <c r="A32" s="3"/>
      <c r="B32" s="13"/>
      <c r="C32" s="22"/>
      <c r="D32" s="22"/>
      <c r="E32" s="22"/>
      <c r="F32" s="216"/>
      <c r="G32" s="216"/>
      <c r="H32" s="216"/>
      <c r="I32" s="216"/>
      <c r="J32" s="216"/>
      <c r="K32" s="216"/>
    </row>
    <row r="33" spans="1:20" x14ac:dyDescent="0.2">
      <c r="A33" s="2" t="s">
        <v>3</v>
      </c>
      <c r="B33" s="1" t="s">
        <v>134</v>
      </c>
      <c r="C33" s="304" t="s">
        <v>24</v>
      </c>
      <c r="D33" s="304" t="s">
        <v>25</v>
      </c>
      <c r="E33" s="304" t="s">
        <v>34</v>
      </c>
      <c r="F33" s="304" t="s">
        <v>26</v>
      </c>
      <c r="G33" s="304" t="s">
        <v>27</v>
      </c>
      <c r="H33" s="304" t="s">
        <v>28</v>
      </c>
      <c r="I33" s="304" t="s">
        <v>29</v>
      </c>
      <c r="J33" s="304" t="s">
        <v>30</v>
      </c>
      <c r="K33" s="304" t="s">
        <v>31</v>
      </c>
      <c r="L33" s="304" t="s">
        <v>32</v>
      </c>
      <c r="M33" s="304" t="s">
        <v>33</v>
      </c>
      <c r="N33" s="304" t="s">
        <v>222</v>
      </c>
      <c r="O33" s="304" t="s">
        <v>223</v>
      </c>
      <c r="P33" s="304" t="s">
        <v>224</v>
      </c>
      <c r="Q33" s="304" t="s">
        <v>225</v>
      </c>
      <c r="R33" s="304" t="s">
        <v>242</v>
      </c>
      <c r="S33" s="304" t="s">
        <v>226</v>
      </c>
    </row>
    <row r="34" spans="1:20" x14ac:dyDescent="0.2">
      <c r="A34" s="9" t="s">
        <v>23</v>
      </c>
      <c r="B34" s="10" t="s">
        <v>24</v>
      </c>
      <c r="C34" s="10" t="s">
        <v>25</v>
      </c>
      <c r="D34" s="10" t="s">
        <v>34</v>
      </c>
      <c r="E34" s="10" t="s">
        <v>26</v>
      </c>
      <c r="F34" s="10" t="s">
        <v>27</v>
      </c>
      <c r="G34" s="10" t="s">
        <v>28</v>
      </c>
      <c r="H34" s="10" t="s">
        <v>29</v>
      </c>
      <c r="I34" s="10" t="s">
        <v>30</v>
      </c>
      <c r="J34" s="10" t="s">
        <v>31</v>
      </c>
      <c r="K34" s="10" t="s">
        <v>32</v>
      </c>
      <c r="L34" s="10" t="s">
        <v>33</v>
      </c>
      <c r="M34" s="242" t="s">
        <v>222</v>
      </c>
      <c r="N34" s="242" t="s">
        <v>223</v>
      </c>
      <c r="O34" s="242" t="s">
        <v>224</v>
      </c>
      <c r="P34" s="242" t="s">
        <v>225</v>
      </c>
      <c r="Q34" s="242" t="s">
        <v>242</v>
      </c>
      <c r="R34" s="242" t="s">
        <v>226</v>
      </c>
      <c r="S34" s="292" t="s">
        <v>245</v>
      </c>
      <c r="T34" s="1" t="s">
        <v>257</v>
      </c>
    </row>
    <row r="35" spans="1:20" x14ac:dyDescent="0.2">
      <c r="A35" s="4" t="s">
        <v>259</v>
      </c>
      <c r="B35" s="298">
        <v>0.20799999999999999</v>
      </c>
      <c r="C35" s="298">
        <v>0.192</v>
      </c>
      <c r="D35" s="298">
        <v>0.19500000000000001</v>
      </c>
      <c r="E35" s="298">
        <v>0.19500000000000001</v>
      </c>
      <c r="F35" s="298">
        <v>0.19500000000000001</v>
      </c>
      <c r="G35" s="301">
        <f>IF(Request!$U$34="NICRA",$F35,0.255)</f>
        <v>0.255</v>
      </c>
      <c r="H35" s="4">
        <f>IF(Request!$U$34="NICRA",$F35,ROUND(G35*1.03,3))</f>
        <v>0.26300000000000001</v>
      </c>
      <c r="I35" s="4">
        <f>IF(Request!$U$34="NICRA",$F35,ROUND(H35*1.03,3))</f>
        <v>0.27100000000000002</v>
      </c>
      <c r="J35" s="4">
        <f>IF(Request!$U$34="NICRA",$F35,ROUND(I35*1.03,3))</f>
        <v>0.27900000000000003</v>
      </c>
      <c r="K35" s="4">
        <f>IF(Request!$U$34="NICRA",$F35,ROUND(J35*1.03,3))</f>
        <v>0.28699999999999998</v>
      </c>
      <c r="L35" s="4">
        <f>IF(Request!$U$34="NICRA",$F35,ROUND(K35*1.03,3))</f>
        <v>0.29599999999999999</v>
      </c>
      <c r="M35" s="4">
        <f>IF(Request!$U$34="NICRA",$F35,ROUND(L35*1.03,3))</f>
        <v>0.30499999999999999</v>
      </c>
      <c r="N35" s="4">
        <f>IF(Request!$U$34="NICRA",$F35,ROUND(M35*1.03,3))</f>
        <v>0.314</v>
      </c>
      <c r="O35" s="4">
        <f>IF(Request!$U$34="NICRA",$F35,ROUND(N35*1.03,3))</f>
        <v>0.32300000000000001</v>
      </c>
      <c r="P35" s="4">
        <f>IF(Request!$U$34="NICRA",$F35,ROUND(O35*1.03,3))</f>
        <v>0.33300000000000002</v>
      </c>
      <c r="Q35" s="4">
        <f>IF(Request!$U$34="NICRA",$F35,ROUND(P35*1.03,3))</f>
        <v>0.34300000000000003</v>
      </c>
      <c r="R35" s="4">
        <f>IF(Request!$U$34="NICRA",$F35,ROUND(Q35*1.03,3))</f>
        <v>0.35299999999999998</v>
      </c>
      <c r="S35" s="297"/>
    </row>
    <row r="36" spans="1:20" x14ac:dyDescent="0.2">
      <c r="A36" s="4" t="s">
        <v>260</v>
      </c>
      <c r="B36" s="4">
        <v>0.317</v>
      </c>
      <c r="C36" s="4">
        <v>0.31900000000000001</v>
      </c>
      <c r="D36" s="4">
        <v>0.309</v>
      </c>
      <c r="E36" s="4">
        <v>0.30499999999999999</v>
      </c>
      <c r="F36" s="4">
        <v>0.30499999999999999</v>
      </c>
      <c r="G36" s="302">
        <f>IF(Request!$U$34="NICRA",$F36,0.255)</f>
        <v>0.255</v>
      </c>
      <c r="H36" s="4">
        <f>IF(Request!$U$34="NICRA",$F36,ROUND(G36*1.03,3))</f>
        <v>0.26300000000000001</v>
      </c>
      <c r="I36" s="4">
        <f>IF(Request!$U$34="NICRA",$F36,ROUND(H36*1.03,3))</f>
        <v>0.27100000000000002</v>
      </c>
      <c r="J36" s="4">
        <f>IF(Request!$U$34="NICRA",$F36,ROUND(I36*1.03,3))</f>
        <v>0.27900000000000003</v>
      </c>
      <c r="K36" s="4">
        <f>IF(Request!$U$34="NICRA",$F36,ROUND(J36*1.03,3))</f>
        <v>0.28699999999999998</v>
      </c>
      <c r="L36" s="4">
        <f>IF(Request!$U$34="NICRA",$F36,ROUND(K36*1.03,3))</f>
        <v>0.29599999999999999</v>
      </c>
      <c r="M36" s="4">
        <f>IF(Request!$U$34="NICRA",$F36,ROUND(L36*1.03,3))</f>
        <v>0.30499999999999999</v>
      </c>
      <c r="N36" s="4">
        <f>IF(Request!$U$34="NICRA",$F36,ROUND(M36*1.03,3))</f>
        <v>0.314</v>
      </c>
      <c r="O36" s="4">
        <f>IF(Request!$U$34="NICRA",$F36,ROUND(N36*1.03,3))</f>
        <v>0.32300000000000001</v>
      </c>
      <c r="P36" s="4">
        <f>IF(Request!$U$34="NICRA",$F36,ROUND(O36*1.03,3))</f>
        <v>0.33300000000000002</v>
      </c>
      <c r="Q36" s="4">
        <f>IF(Request!$U$34="NICRA",$F36,ROUND(P36*1.03,3))</f>
        <v>0.34300000000000003</v>
      </c>
      <c r="R36" s="4">
        <f>IF(Request!$U$34="NICRA",$F36,ROUND(Q36*1.03,3))</f>
        <v>0.35299999999999998</v>
      </c>
      <c r="S36" s="4">
        <v>0.19500000000000001</v>
      </c>
      <c r="T36" s="1">
        <f>1.28%</f>
        <v>1.2800000000000001E-2</v>
      </c>
    </row>
    <row r="37" spans="1:20" x14ac:dyDescent="0.2">
      <c r="A37" s="4" t="s">
        <v>261</v>
      </c>
      <c r="B37" s="4">
        <v>0.317</v>
      </c>
      <c r="C37" s="4">
        <v>0.31900000000000001</v>
      </c>
      <c r="D37" s="4">
        <v>0.309</v>
      </c>
      <c r="E37" s="4">
        <v>0.30499999999999999</v>
      </c>
      <c r="F37" s="4">
        <v>0.30499999999999999</v>
      </c>
      <c r="G37" s="302">
        <v>0.34100000000000003</v>
      </c>
      <c r="H37" s="4">
        <f>IF(Request!$U$34="NICRA",$F37,ROUND(G37*1.03,3))</f>
        <v>0.35099999999999998</v>
      </c>
      <c r="I37" s="4">
        <f>IF(Request!$U$34="NICRA",$F37,ROUND(H37*1.03,3))</f>
        <v>0.36199999999999999</v>
      </c>
      <c r="J37" s="4">
        <f>IF(Request!$U$34="NICRA",$F37,ROUND(I37*1.03,3))</f>
        <v>0.373</v>
      </c>
      <c r="K37" s="4">
        <f>IF(Request!$U$34="NICRA",$F37,ROUND(J37*1.03,3))</f>
        <v>0.38400000000000001</v>
      </c>
      <c r="L37" s="4">
        <f>IF(Request!$U$34="NICRA",$F37,ROUND(K37*1.03,3))</f>
        <v>0.39600000000000002</v>
      </c>
      <c r="M37" s="4">
        <f>IF(Request!$U$34="NICRA",$F37,ROUND(L37*1.03,3))</f>
        <v>0.40799999999999997</v>
      </c>
      <c r="N37" s="4">
        <f>IF(Request!$U$34="NICRA",$F37,ROUND(M37*1.03,3))</f>
        <v>0.42</v>
      </c>
      <c r="O37" s="4">
        <f>IF(Request!$U$34="NICRA",$F37,ROUND(N37*1.03,3))</f>
        <v>0.433</v>
      </c>
      <c r="P37" s="4">
        <f>IF(Request!$U$34="NICRA",$F37,ROUND(O37*1.03,3))</f>
        <v>0.44600000000000001</v>
      </c>
      <c r="Q37" s="4">
        <f>IF(Request!$U$34="NICRA",$F37,ROUND(P37*1.03,3))</f>
        <v>0.45900000000000002</v>
      </c>
      <c r="R37" s="4">
        <f>IF(Request!$U$34="NICRA",$F37,ROUND(Q37*1.03,3))</f>
        <v>0.47299999999999998</v>
      </c>
      <c r="S37" s="4">
        <v>0.30499999999999999</v>
      </c>
      <c r="T37" s="1">
        <f t="shared" ref="T37:T51" si="2">1.28%</f>
        <v>1.2800000000000001E-2</v>
      </c>
    </row>
    <row r="38" spans="1:20" x14ac:dyDescent="0.2">
      <c r="A38" s="4" t="s">
        <v>262</v>
      </c>
      <c r="B38" s="4">
        <v>0.38300000000000001</v>
      </c>
      <c r="C38" s="4">
        <v>0.379</v>
      </c>
      <c r="D38" s="4">
        <v>0.38100000000000001</v>
      </c>
      <c r="E38" s="4">
        <v>0.38900000000000001</v>
      </c>
      <c r="F38" s="4">
        <v>0.38900000000000001</v>
      </c>
      <c r="G38" s="302">
        <v>0.38400000000000001</v>
      </c>
      <c r="H38" s="4">
        <f>IF(Request!$U$34="NICRA",$F38,ROUND(G38*1.03,3))</f>
        <v>0.39600000000000002</v>
      </c>
      <c r="I38" s="4">
        <f>IF(Request!$U$34="NICRA",$F38,ROUND(H38*1.03,3))</f>
        <v>0.40799999999999997</v>
      </c>
      <c r="J38" s="4">
        <f>IF(Request!$U$34="NICRA",$F38,ROUND(I38*1.03,3))</f>
        <v>0.42</v>
      </c>
      <c r="K38" s="4">
        <f>IF(Request!$U$34="NICRA",$F38,ROUND(J38*1.03,3))</f>
        <v>0.433</v>
      </c>
      <c r="L38" s="4">
        <f>IF(Request!$U$34="NICRA",$F38,ROUND(K38*1.03,3))</f>
        <v>0.44600000000000001</v>
      </c>
      <c r="M38" s="4">
        <f>IF(Request!$U$34="NICRA",$F38,ROUND(L38*1.03,3))</f>
        <v>0.45900000000000002</v>
      </c>
      <c r="N38" s="4">
        <f>IF(Request!$U$34="NICRA",$F38,ROUND(M38*1.03,3))</f>
        <v>0.47299999999999998</v>
      </c>
      <c r="O38" s="4">
        <f>IF(Request!$U$34="NICRA",$F38,ROUND(N38*1.03,3))</f>
        <v>0.48699999999999999</v>
      </c>
      <c r="P38" s="4">
        <f>IF(Request!$U$34="NICRA",$F38,ROUND(O38*1.03,3))</f>
        <v>0.502</v>
      </c>
      <c r="Q38" s="4">
        <f>IF(Request!$U$34="NICRA",$F38,ROUND(P38*1.03,3))</f>
        <v>0.51700000000000002</v>
      </c>
      <c r="R38" s="4">
        <f>IF(Request!$U$34="NICRA",$F38,ROUND(Q38*1.03,3))</f>
        <v>0.53300000000000003</v>
      </c>
      <c r="S38" s="4">
        <v>0.38900000000000001</v>
      </c>
      <c r="T38" s="1">
        <f t="shared" si="2"/>
        <v>1.2800000000000001E-2</v>
      </c>
    </row>
    <row r="39" spans="1:20" x14ac:dyDescent="0.2">
      <c r="A39" s="4" t="s">
        <v>263</v>
      </c>
      <c r="B39" s="4">
        <v>0.504</v>
      </c>
      <c r="C39" s="4">
        <v>0.51400000000000001</v>
      </c>
      <c r="D39" s="4">
        <v>0.51300000000000001</v>
      </c>
      <c r="E39" s="4">
        <v>0.51</v>
      </c>
      <c r="F39" s="4">
        <v>0.51</v>
      </c>
      <c r="G39" s="302">
        <f>IF(Request!$U$34="NICRA",$F39,0.531)</f>
        <v>0.53100000000000003</v>
      </c>
      <c r="H39" s="4">
        <f>IF(Request!$U$34="NICRA",$F39,ROUND(G39*1.03,3))</f>
        <v>0.54700000000000004</v>
      </c>
      <c r="I39" s="4">
        <f>IF(Request!$U$34="NICRA",$F39,ROUND(H39*1.03,3))</f>
        <v>0.56299999999999994</v>
      </c>
      <c r="J39" s="4">
        <f>IF(Request!$U$34="NICRA",$F39,ROUND(I39*1.03,3))</f>
        <v>0.57999999999999996</v>
      </c>
      <c r="K39" s="4">
        <f>IF(Request!$U$34="NICRA",$F39,ROUND(J39*1.03,3))</f>
        <v>0.59699999999999998</v>
      </c>
      <c r="L39" s="4">
        <f>IF(Request!$U$34="NICRA",$F39,ROUND(K39*1.03,3))</f>
        <v>0.61499999999999999</v>
      </c>
      <c r="M39" s="4">
        <f>IF(Request!$U$34="NICRA",$F39,ROUND(L39*1.03,3))</f>
        <v>0.63300000000000001</v>
      </c>
      <c r="N39" s="4">
        <f>IF(Request!$U$34="NICRA",$F39,ROUND(M39*1.03,3))</f>
        <v>0.65200000000000002</v>
      </c>
      <c r="O39" s="4">
        <f>IF(Request!$U$34="NICRA",$F39,ROUND(N39*1.03,3))</f>
        <v>0.67200000000000004</v>
      </c>
      <c r="P39" s="4">
        <f>IF(Request!$U$34="NICRA",$F39,ROUND(O39*1.03,3))</f>
        <v>0.69199999999999995</v>
      </c>
      <c r="Q39" s="4">
        <f>IF(Request!$U$34="NICRA",$F39,ROUND(P39*1.03,3))</f>
        <v>0.71299999999999997</v>
      </c>
      <c r="R39" s="4">
        <f>IF(Request!$U$34="NICRA",$F39,ROUND(Q39*1.03,3))</f>
        <v>0.73399999999999999</v>
      </c>
      <c r="S39" s="4">
        <v>0.51</v>
      </c>
      <c r="T39" s="1">
        <f t="shared" si="2"/>
        <v>1.2800000000000001E-2</v>
      </c>
    </row>
    <row r="40" spans="1:20" x14ac:dyDescent="0.2">
      <c r="A40" s="4" t="s">
        <v>264</v>
      </c>
      <c r="B40" s="4">
        <v>0.66400000000000003</v>
      </c>
      <c r="C40" s="4">
        <v>0.66300000000000003</v>
      </c>
      <c r="D40" s="4">
        <v>0.622</v>
      </c>
      <c r="E40" s="4">
        <v>0.60699999999999998</v>
      </c>
      <c r="F40" s="4">
        <v>0.60699999999999998</v>
      </c>
      <c r="G40" s="302">
        <v>0.66100000000000003</v>
      </c>
      <c r="H40" s="4">
        <f>IF(Request!$U$34="NICRA",$F40,ROUND(G40*1.03,3))</f>
        <v>0.68100000000000005</v>
      </c>
      <c r="I40" s="4">
        <f>IF(Request!$U$34="NICRA",$F40,ROUND(H40*1.03,3))</f>
        <v>0.70099999999999996</v>
      </c>
      <c r="J40" s="4">
        <f>IF(Request!$U$34="NICRA",$F40,ROUND(I40*1.03,3))</f>
        <v>0.72199999999999998</v>
      </c>
      <c r="K40" s="4">
        <f>IF(Request!$U$34="NICRA",$F40,ROUND(J40*1.03,3))</f>
        <v>0.74399999999999999</v>
      </c>
      <c r="L40" s="4">
        <f>IF(Request!$U$34="NICRA",$F40,ROUND(K40*1.03,3))</f>
        <v>0.76600000000000001</v>
      </c>
      <c r="M40" s="4">
        <f>IF(Request!$U$34="NICRA",$F40,ROUND(L40*1.03,3))</f>
        <v>0.78900000000000003</v>
      </c>
      <c r="N40" s="4">
        <f>IF(Request!$U$34="NICRA",$F40,ROUND(M40*1.03,3))</f>
        <v>0.81299999999999994</v>
      </c>
      <c r="O40" s="4">
        <f>IF(Request!$U$34="NICRA",$F40,ROUND(N40*1.03,3))</f>
        <v>0.83699999999999997</v>
      </c>
      <c r="P40" s="4">
        <f>IF(Request!$U$34="NICRA",$F40,ROUND(O40*1.03,3))</f>
        <v>0.86199999999999999</v>
      </c>
      <c r="Q40" s="4">
        <f>IF(Request!$U$34="NICRA",$F40,ROUND(P40*1.03,3))</f>
        <v>0.88800000000000001</v>
      </c>
      <c r="R40" s="4">
        <f>IF(Request!$U$34="NICRA",$F40,ROUND(Q40*1.03,3))</f>
        <v>0.91500000000000004</v>
      </c>
      <c r="S40" s="4">
        <v>0.60699999999999998</v>
      </c>
      <c r="T40" s="1">
        <f t="shared" si="2"/>
        <v>1.2800000000000001E-2</v>
      </c>
    </row>
    <row r="41" spans="1:20" x14ac:dyDescent="0.2">
      <c r="A41" s="4" t="s">
        <v>265</v>
      </c>
      <c r="B41" s="4">
        <v>0.16</v>
      </c>
      <c r="C41" s="4">
        <v>0.17100000000000001</v>
      </c>
      <c r="D41" s="4">
        <v>0.17299999999999999</v>
      </c>
      <c r="E41" s="4">
        <v>0.17299999999999999</v>
      </c>
      <c r="F41" s="4">
        <v>0.17299999999999999</v>
      </c>
      <c r="G41" s="302">
        <v>0.26300000000000001</v>
      </c>
      <c r="H41" s="4">
        <f>IF(Request!$U$34="NICRA",$F41,ROUND(G41*1.03,3))</f>
        <v>0.27100000000000002</v>
      </c>
      <c r="I41" s="4">
        <f>IF(Request!$U$34="NICRA",$F41,ROUND(H41*1.03,3))</f>
        <v>0.27900000000000003</v>
      </c>
      <c r="J41" s="4">
        <f>IF(Request!$U$34="NICRA",$F41,ROUND(I41*1.03,3))</f>
        <v>0.28699999999999998</v>
      </c>
      <c r="K41" s="4">
        <f>IF(Request!$U$34="NICRA",$F41,ROUND(J41*1.03,3))</f>
        <v>0.29599999999999999</v>
      </c>
      <c r="L41" s="4">
        <f>IF(Request!$U$34="NICRA",$F41,ROUND(K41*1.03,3))</f>
        <v>0.30499999999999999</v>
      </c>
      <c r="M41" s="4">
        <f>IF(Request!$U$34="NICRA",$F41,ROUND(L41*1.03,3))</f>
        <v>0.314</v>
      </c>
      <c r="N41" s="4">
        <f>IF(Request!$U$34="NICRA",$F41,ROUND(M41*1.03,3))</f>
        <v>0.32300000000000001</v>
      </c>
      <c r="O41" s="4">
        <f>IF(Request!$U$34="NICRA",$F41,ROUND(N41*1.03,3))</f>
        <v>0.33300000000000002</v>
      </c>
      <c r="P41" s="4">
        <f>IF(Request!$U$34="NICRA",$F41,ROUND(O41*1.03,3))</f>
        <v>0.34300000000000003</v>
      </c>
      <c r="Q41" s="4">
        <f>IF(Request!$U$34="NICRA",$F41,ROUND(P41*1.03,3))</f>
        <v>0.35299999999999998</v>
      </c>
      <c r="R41" s="4">
        <f>IF(Request!$U$34="NICRA",$F41,ROUND(Q41*1.03,3))</f>
        <v>0.36399999999999999</v>
      </c>
      <c r="S41" s="4">
        <v>0.17299999999999999</v>
      </c>
      <c r="T41" s="1">
        <f t="shared" si="2"/>
        <v>1.2800000000000001E-2</v>
      </c>
    </row>
    <row r="42" spans="1:20" x14ac:dyDescent="0.2">
      <c r="A42" s="4" t="s">
        <v>266</v>
      </c>
      <c r="B42" s="4">
        <v>1.2999999999999999E-2</v>
      </c>
      <c r="C42" s="4">
        <v>1.2999999999999999E-2</v>
      </c>
      <c r="D42" s="4">
        <v>1.2999999999999999E-2</v>
      </c>
      <c r="E42" s="4">
        <v>1.4999999999999999E-2</v>
      </c>
      <c r="F42" s="4">
        <v>1.4999999999999999E-2</v>
      </c>
      <c r="G42" s="302">
        <f>IF(Request!$U$34="NICRA",$F42,0.019)</f>
        <v>1.9E-2</v>
      </c>
      <c r="H42" s="4">
        <f>IF(Request!$U$34="NICRA",$F42,ROUND(G42*1.03,3))</f>
        <v>0.02</v>
      </c>
      <c r="I42" s="4">
        <f>IF(Request!$U$34="NICRA",$F42,ROUND(H42*1.03,3))</f>
        <v>2.1000000000000001E-2</v>
      </c>
      <c r="J42" s="4">
        <f>IF(Request!$U$34="NICRA",$F42,ROUND(I42*1.03,3))</f>
        <v>2.1999999999999999E-2</v>
      </c>
      <c r="K42" s="4">
        <f>IF(Request!$U$34="NICRA",$F42,ROUND(J42*1.03,3))</f>
        <v>2.3E-2</v>
      </c>
      <c r="L42" s="4">
        <f>IF(Request!$U$34="NICRA",$F42,ROUND(K42*1.03,3))</f>
        <v>2.4E-2</v>
      </c>
      <c r="M42" s="4">
        <f>IF(Request!$U$34="NICRA",$F42,ROUND(L42*1.03,3))</f>
        <v>2.5000000000000001E-2</v>
      </c>
      <c r="N42" s="4">
        <f>IF(Request!$U$34="NICRA",$F42,ROUND(M42*1.03,3))</f>
        <v>2.5999999999999999E-2</v>
      </c>
      <c r="O42" s="4">
        <f>IF(Request!$U$34="NICRA",$F42,ROUND(N42*1.03,3))</f>
        <v>2.7E-2</v>
      </c>
      <c r="P42" s="4">
        <f>IF(Request!$U$34="NICRA",$F42,ROUND(O42*1.03,3))</f>
        <v>2.8000000000000001E-2</v>
      </c>
      <c r="Q42" s="4">
        <f>IF(Request!$U$34="NICRA",$F42,ROUND(P42*1.03,3))</f>
        <v>2.9000000000000001E-2</v>
      </c>
      <c r="R42" s="4">
        <f>IF(Request!$U$34="NICRA",$F42,ROUND(Q42*1.03,3))</f>
        <v>0.03</v>
      </c>
      <c r="S42" s="4">
        <v>1.4999999999999999E-2</v>
      </c>
      <c r="T42" s="1">
        <f t="shared" si="2"/>
        <v>1.2800000000000001E-2</v>
      </c>
    </row>
    <row r="43" spans="1:20" x14ac:dyDescent="0.2">
      <c r="A43" s="4" t="s">
        <v>268</v>
      </c>
      <c r="B43" s="4">
        <v>0.104</v>
      </c>
      <c r="C43" s="4">
        <v>0.106</v>
      </c>
      <c r="D43" s="4">
        <v>9.0999999999999998E-2</v>
      </c>
      <c r="E43" s="4">
        <v>9.1999999999999998E-2</v>
      </c>
      <c r="F43" s="4">
        <v>9.1999999999999998E-2</v>
      </c>
      <c r="G43" s="302">
        <f>IF(Request!$U$34="NICRA",$F43,0.174)</f>
        <v>0.17399999999999999</v>
      </c>
      <c r="H43" s="4">
        <f>IF(Request!$U$34="NICRA",$F43,ROUND(G43*1.03,3))</f>
        <v>0.17899999999999999</v>
      </c>
      <c r="I43" s="4">
        <f>IF(Request!$U$34="NICRA",$F43,ROUND(H43*1.03,3))</f>
        <v>0.184</v>
      </c>
      <c r="J43" s="4">
        <f>IF(Request!$U$34="NICRA",$F43,ROUND(I43*1.03,3))</f>
        <v>0.19</v>
      </c>
      <c r="K43" s="4">
        <f>IF(Request!$U$34="NICRA",$F43,ROUND(J43*1.03,3))</f>
        <v>0.19600000000000001</v>
      </c>
      <c r="L43" s="4">
        <f>IF(Request!$U$34="NICRA",$F43,ROUND(K43*1.03,3))</f>
        <v>0.20200000000000001</v>
      </c>
      <c r="M43" s="4">
        <f>IF(Request!$U$34="NICRA",$F43,ROUND(L43*1.03,3))</f>
        <v>0.20799999999999999</v>
      </c>
      <c r="N43" s="4">
        <f>IF(Request!$U$34="NICRA",$F43,ROUND(M43*1.03,3))</f>
        <v>0.214</v>
      </c>
      <c r="O43" s="4">
        <f>IF(Request!$U$34="NICRA",$F43,ROUND(N43*1.03,3))</f>
        <v>0.22</v>
      </c>
      <c r="P43" s="4">
        <f>IF(Request!$U$34="NICRA",$F43,ROUND(O43*1.03,3))</f>
        <v>0.22700000000000001</v>
      </c>
      <c r="Q43" s="4">
        <f>IF(Request!$U$34="NICRA",$F43,ROUND(P43*1.03,3))</f>
        <v>0.23400000000000001</v>
      </c>
      <c r="R43" s="4">
        <f>IF(Request!$U$34="NICRA",$F43,ROUND(Q43*1.03,3))</f>
        <v>0.24099999999999999</v>
      </c>
      <c r="S43" s="4"/>
      <c r="T43" s="1">
        <f t="shared" si="2"/>
        <v>1.2800000000000001E-2</v>
      </c>
    </row>
    <row r="44" spans="1:20" x14ac:dyDescent="0.2">
      <c r="A44" s="4" t="s">
        <v>267</v>
      </c>
      <c r="B44" s="4">
        <v>3.1E-2</v>
      </c>
      <c r="C44" s="4">
        <v>3.3000000000000002E-2</v>
      </c>
      <c r="D44" s="4">
        <v>3.5999999999999997E-2</v>
      </c>
      <c r="E44" s="4">
        <v>4.7E-2</v>
      </c>
      <c r="F44" s="4">
        <v>4.7E-2</v>
      </c>
      <c r="G44" s="302">
        <f>IF(Request!$U$34="NICRA",$F44,0.036)</f>
        <v>3.5999999999999997E-2</v>
      </c>
      <c r="H44" s="4">
        <f>IF(Request!$U$34="NICRA",$F44,ROUND(G44*1.03,3))</f>
        <v>3.6999999999999998E-2</v>
      </c>
      <c r="I44" s="4">
        <f>IF(Request!$U$34="NICRA",$F44,ROUND(H44*1.03,3))</f>
        <v>3.7999999999999999E-2</v>
      </c>
      <c r="J44" s="4">
        <f>IF(Request!$U$34="NICRA",$F44,ROUND(I44*1.03,3))</f>
        <v>3.9E-2</v>
      </c>
      <c r="K44" s="4">
        <f>IF(Request!$U$34="NICRA",$F44,ROUND(J44*1.03,3))</f>
        <v>0.04</v>
      </c>
      <c r="L44" s="4">
        <f>IF(Request!$U$34="NICRA",$F44,ROUND(K44*1.03,3))</f>
        <v>4.1000000000000002E-2</v>
      </c>
      <c r="M44" s="4">
        <f>IF(Request!$U$34="NICRA",$F44,ROUND(L44*1.03,3))</f>
        <v>4.2000000000000003E-2</v>
      </c>
      <c r="N44" s="4">
        <f>IF(Request!$U$34="NICRA",$F44,ROUND(M44*1.03,3))</f>
        <v>4.2999999999999997E-2</v>
      </c>
      <c r="O44" s="4">
        <f>IF(Request!$U$34="NICRA",$F44,ROUND(N44*1.03,3))</f>
        <v>4.3999999999999997E-2</v>
      </c>
      <c r="P44" s="4">
        <f>IF(Request!$U$34="NICRA",$F44,ROUND(O44*1.03,3))</f>
        <v>4.4999999999999998E-2</v>
      </c>
      <c r="Q44" s="4">
        <f>IF(Request!$U$34="NICRA",$F44,ROUND(P44*1.03,3))</f>
        <v>4.5999999999999999E-2</v>
      </c>
      <c r="R44" s="4">
        <f>IF(Request!$U$34="NICRA",$F44,ROUND(Q44*1.03,3))</f>
        <v>4.7E-2</v>
      </c>
      <c r="S44" s="4"/>
      <c r="T44" s="1">
        <f t="shared" si="2"/>
        <v>1.2800000000000001E-2</v>
      </c>
    </row>
    <row r="45" spans="1:20" x14ac:dyDescent="0.2">
      <c r="A45" s="4" t="s">
        <v>269</v>
      </c>
      <c r="B45" s="4">
        <v>0.16</v>
      </c>
      <c r="C45" s="4">
        <v>0.17100000000000001</v>
      </c>
      <c r="D45" s="4">
        <v>0.17299999999999999</v>
      </c>
      <c r="E45" s="4">
        <v>0.17299999999999999</v>
      </c>
      <c r="F45" s="4">
        <v>0.17299999999999999</v>
      </c>
      <c r="G45" s="302">
        <f>IF(Request!$U$34="NICRA",$F45,0.103)</f>
        <v>0.10299999999999999</v>
      </c>
      <c r="H45" s="4">
        <f>IF(Request!$U$34="NICRA",$F45,ROUND(G45*1.03,3))</f>
        <v>0.106</v>
      </c>
      <c r="I45" s="4">
        <f>IF(Request!$U$34="NICRA",$F45,ROUND(H45*1.03,3))</f>
        <v>0.109</v>
      </c>
      <c r="J45" s="4">
        <f>IF(Request!$U$34="NICRA",$F45,ROUND(I45*1.03,3))</f>
        <v>0.112</v>
      </c>
      <c r="K45" s="4">
        <f>IF(Request!$U$34="NICRA",$F45,ROUND(J45*1.03,3))</f>
        <v>0.115</v>
      </c>
      <c r="L45" s="4">
        <f>IF(Request!$U$34="NICRA",$F45,ROUND(K45*1.03,3))</f>
        <v>0.11799999999999999</v>
      </c>
      <c r="M45" s="4">
        <f>IF(Request!$U$34="NICRA",$F45,ROUND(L45*1.03,3))</f>
        <v>0.122</v>
      </c>
      <c r="N45" s="4">
        <f>IF(Request!$U$34="NICRA",$F45,ROUND(M45*1.03,3))</f>
        <v>0.126</v>
      </c>
      <c r="O45" s="4">
        <f>IF(Request!$U$34="NICRA",$F45,ROUND(N45*1.03,3))</f>
        <v>0.13</v>
      </c>
      <c r="P45" s="4">
        <f>IF(Request!$U$34="NICRA",$F45,ROUND(O45*1.03,3))</f>
        <v>0.13400000000000001</v>
      </c>
      <c r="Q45" s="4">
        <f>IF(Request!$U$34="NICRA",$F45,ROUND(P45*1.03,3))</f>
        <v>0.13800000000000001</v>
      </c>
      <c r="R45" s="4">
        <f>IF(Request!$U$34="NICRA",$F45,ROUND(Q45*1.03,3))</f>
        <v>0.14199999999999999</v>
      </c>
      <c r="S45" s="4"/>
      <c r="T45" s="1">
        <f t="shared" si="2"/>
        <v>1.2800000000000001E-2</v>
      </c>
    </row>
    <row r="46" spans="1:20" x14ac:dyDescent="0.2">
      <c r="A46" s="4" t="s">
        <v>247</v>
      </c>
      <c r="B46" s="4">
        <v>0.42199999999999999</v>
      </c>
      <c r="C46" s="4">
        <v>0.42199999999999999</v>
      </c>
      <c r="D46" s="4">
        <v>0.42199999999999999</v>
      </c>
      <c r="E46" s="4">
        <v>0.42199999999999999</v>
      </c>
      <c r="F46" s="4">
        <v>0.42199999999999999</v>
      </c>
      <c r="G46" s="302">
        <f>IF(Request!$U$34="NICRA",$F46,0.432)</f>
        <v>0.432</v>
      </c>
      <c r="H46" s="4">
        <f>IF(Request!$U$34="NICRA",$F46,ROUND(G46*1.03,3))</f>
        <v>0.44500000000000001</v>
      </c>
      <c r="I46" s="4">
        <f>IF(Request!$U$34="NICRA",$F46,ROUND(H46*1.03,3))</f>
        <v>0.45800000000000002</v>
      </c>
      <c r="J46" s="4">
        <f>IF(Request!$U$34="NICRA",$F46,ROUND(I46*1.03,3))</f>
        <v>0.47199999999999998</v>
      </c>
      <c r="K46" s="4">
        <f>IF(Request!$U$34="NICRA",$F46,ROUND(J46*1.03,3))</f>
        <v>0.48599999999999999</v>
      </c>
      <c r="L46" s="4">
        <f>IF(Request!$U$34="NICRA",$F46,ROUND(K46*1.03,3))</f>
        <v>0.501</v>
      </c>
      <c r="M46" s="4">
        <f>IF(Request!$U$34="NICRA",$F46,ROUND(L46*1.03,3))</f>
        <v>0.51600000000000001</v>
      </c>
      <c r="N46" s="4">
        <f>IF(Request!$U$34="NICRA",$F46,ROUND(M46*1.03,3))</f>
        <v>0.53100000000000003</v>
      </c>
      <c r="O46" s="4">
        <f>IF(Request!$U$34="NICRA",$F46,ROUND(N46*1.03,3))</f>
        <v>0.54700000000000004</v>
      </c>
      <c r="P46" s="4">
        <f>IF(Request!$U$34="NICRA",$F46,ROUND(O46*1.03,3))</f>
        <v>0.56299999999999994</v>
      </c>
      <c r="Q46" s="4">
        <f>IF(Request!$U$34="NICRA",$F46,ROUND(P46*1.03,3))</f>
        <v>0.57999999999999996</v>
      </c>
      <c r="R46" s="4">
        <f>IF(Request!$U$34="NICRA",$F46,ROUND(Q46*1.03,3))</f>
        <v>0.59699999999999998</v>
      </c>
      <c r="S46" s="4"/>
      <c r="T46" s="1">
        <f t="shared" si="2"/>
        <v>1.2800000000000001E-2</v>
      </c>
    </row>
    <row r="47" spans="1:20" x14ac:dyDescent="0.2">
      <c r="A47" s="4" t="s">
        <v>248</v>
      </c>
      <c r="B47" s="4">
        <v>0.52400000000000002</v>
      </c>
      <c r="C47" s="4">
        <v>0.52400000000000002</v>
      </c>
      <c r="D47" s="4">
        <v>0.52400000000000002</v>
      </c>
      <c r="E47" s="4">
        <v>0.53</v>
      </c>
      <c r="F47" s="4">
        <v>0.53</v>
      </c>
      <c r="G47" s="302">
        <f>IF(Request!$U$34="NICRA",$F47,0.543)</f>
        <v>0.54300000000000004</v>
      </c>
      <c r="H47" s="4">
        <f>IF(Request!$U$34="NICRA",$F47,ROUND(G47*1.03,3))</f>
        <v>0.55900000000000005</v>
      </c>
      <c r="I47" s="4">
        <f>IF(Request!$U$34="NICRA",$F47,ROUND(H47*1.03,3))</f>
        <v>0.57599999999999996</v>
      </c>
      <c r="J47" s="4">
        <f>IF(Request!$U$34="NICRA",$F47,ROUND(I47*1.03,3))</f>
        <v>0.59299999999999997</v>
      </c>
      <c r="K47" s="4">
        <f>IF(Request!$U$34="NICRA",$F47,ROUND(J47*1.03,3))</f>
        <v>0.61099999999999999</v>
      </c>
      <c r="L47" s="4">
        <f>IF(Request!$U$34="NICRA",$F47,ROUND(K47*1.03,3))</f>
        <v>0.629</v>
      </c>
      <c r="M47" s="4">
        <f>IF(Request!$U$34="NICRA",$F47,ROUND(L47*1.03,3))</f>
        <v>0.64800000000000002</v>
      </c>
      <c r="N47" s="4">
        <f>IF(Request!$U$34="NICRA",$F47,ROUND(M47*1.03,3))</f>
        <v>0.66700000000000004</v>
      </c>
      <c r="O47" s="4">
        <f>IF(Request!$U$34="NICRA",$F47,ROUND(N47*1.03,3))</f>
        <v>0.68700000000000006</v>
      </c>
      <c r="P47" s="4">
        <f>IF(Request!$U$34="NICRA",$F47,ROUND(O47*1.03,3))</f>
        <v>0.70799999999999996</v>
      </c>
      <c r="Q47" s="4">
        <f>IF(Request!$U$34="NICRA",$F47,ROUND(P47*1.03,3))</f>
        <v>0.72899999999999998</v>
      </c>
      <c r="R47" s="4">
        <f>IF(Request!$U$34="NICRA",$F47,ROUND(Q47*1.03,3))</f>
        <v>0.751</v>
      </c>
      <c r="S47" s="4"/>
      <c r="T47" s="1">
        <f t="shared" si="2"/>
        <v>1.2800000000000001E-2</v>
      </c>
    </row>
    <row r="48" spans="1:20" x14ac:dyDescent="0.2">
      <c r="A48" s="4" t="s">
        <v>249</v>
      </c>
      <c r="B48" s="4">
        <v>0.626</v>
      </c>
      <c r="C48" s="4">
        <v>0.626</v>
      </c>
      <c r="D48" s="4">
        <v>0.626</v>
      </c>
      <c r="E48" s="4">
        <v>0.63700000000000001</v>
      </c>
      <c r="F48" s="4">
        <v>0.63700000000000001</v>
      </c>
      <c r="G48" s="302">
        <f>IF(Request!$U$34="NICRA",$F48,0.654)</f>
        <v>0.65400000000000003</v>
      </c>
      <c r="H48" s="4">
        <f>IF(Request!$U$34="NICRA",$F48,ROUND(G48*1.03,3))</f>
        <v>0.67400000000000004</v>
      </c>
      <c r="I48" s="4">
        <f>IF(Request!$U$34="NICRA",$F48,ROUND(H48*1.03,3))</f>
        <v>0.69399999999999995</v>
      </c>
      <c r="J48" s="4">
        <f>IF(Request!$U$34="NICRA",$F48,ROUND(I48*1.03,3))</f>
        <v>0.71499999999999997</v>
      </c>
      <c r="K48" s="4">
        <f>IF(Request!$U$34="NICRA",$F48,ROUND(J48*1.03,3))</f>
        <v>0.73599999999999999</v>
      </c>
      <c r="L48" s="4">
        <f>IF(Request!$U$34="NICRA",$F48,ROUND(K48*1.03,3))</f>
        <v>0.75800000000000001</v>
      </c>
      <c r="M48" s="4">
        <f>IF(Request!$U$34="NICRA",$F48,ROUND(L48*1.03,3))</f>
        <v>0.78100000000000003</v>
      </c>
      <c r="N48" s="4">
        <f>IF(Request!$U$34="NICRA",$F48,ROUND(M48*1.03,3))</f>
        <v>0.80400000000000005</v>
      </c>
      <c r="O48" s="4">
        <f>IF(Request!$U$34="NICRA",$F48,ROUND(N48*1.03,3))</f>
        <v>0.82799999999999996</v>
      </c>
      <c r="P48" s="4">
        <f>IF(Request!$U$34="NICRA",$F48,ROUND(O48*1.03,3))</f>
        <v>0.85299999999999998</v>
      </c>
      <c r="Q48" s="4">
        <f>IF(Request!$U$34="NICRA",$F48,ROUND(P48*1.03,3))</f>
        <v>0.879</v>
      </c>
      <c r="R48" s="4">
        <f>IF(Request!$U$34="NICRA",$F48,ROUND(Q48*1.03,3))</f>
        <v>0.90500000000000003</v>
      </c>
      <c r="S48" s="4"/>
      <c r="T48" s="1">
        <f t="shared" si="2"/>
        <v>1.2800000000000001E-2</v>
      </c>
    </row>
    <row r="49" spans="1:20" x14ac:dyDescent="0.2">
      <c r="A49" s="4" t="s">
        <v>250</v>
      </c>
      <c r="B49" s="4">
        <v>0.17299999999999999</v>
      </c>
      <c r="C49" s="4">
        <v>0.17299999999999999</v>
      </c>
      <c r="D49" s="4">
        <v>0.17299999999999999</v>
      </c>
      <c r="E49" s="4">
        <v>0.28199999999999997</v>
      </c>
      <c r="F49" s="4">
        <v>0.28199999999999997</v>
      </c>
      <c r="G49" s="302">
        <f>IF(Request!$U$34="NICRA",$F49,0.292)</f>
        <v>0.29199999999999998</v>
      </c>
      <c r="H49" s="4">
        <f>IF(Request!$U$34="NICRA",$F49,ROUND(G49*1.03,3))</f>
        <v>0.30099999999999999</v>
      </c>
      <c r="I49" s="4">
        <f>IF(Request!$U$34="NICRA",$F49,ROUND(H49*1.03,3))</f>
        <v>0.31</v>
      </c>
      <c r="J49" s="4">
        <f>IF(Request!$U$34="NICRA",$F49,ROUND(I49*1.03,3))</f>
        <v>0.31900000000000001</v>
      </c>
      <c r="K49" s="4">
        <f>IF(Request!$U$34="NICRA",$F49,ROUND(J49*1.03,3))</f>
        <v>0.32900000000000001</v>
      </c>
      <c r="L49" s="4">
        <f>IF(Request!$U$34="NICRA",$F49,ROUND(K49*1.03,3))</f>
        <v>0.33900000000000002</v>
      </c>
      <c r="M49" s="4">
        <f>IF(Request!$U$34="NICRA",$F49,ROUND(L49*1.03,3))</f>
        <v>0.34899999999999998</v>
      </c>
      <c r="N49" s="4">
        <f>IF(Request!$U$34="NICRA",$F49,ROUND(M49*1.03,3))</f>
        <v>0.35899999999999999</v>
      </c>
      <c r="O49" s="4">
        <f>IF(Request!$U$34="NICRA",$F49,ROUND(N49*1.03,3))</f>
        <v>0.37</v>
      </c>
      <c r="P49" s="4">
        <f>IF(Request!$U$34="NICRA",$F49,ROUND(O49*1.03,3))</f>
        <v>0.38100000000000001</v>
      </c>
      <c r="Q49" s="4">
        <f>IF(Request!$U$34="NICRA",$F49,ROUND(P49*1.03,3))</f>
        <v>0.39200000000000002</v>
      </c>
      <c r="R49" s="4">
        <f>IF(Request!$U$34="NICRA",$F49,ROUND(Q49*1.03,3))</f>
        <v>0.40400000000000003</v>
      </c>
      <c r="S49" s="4"/>
      <c r="T49" s="1">
        <f t="shared" si="2"/>
        <v>1.2800000000000001E-2</v>
      </c>
    </row>
    <row r="50" spans="1:20" x14ac:dyDescent="0.2">
      <c r="A50" s="4" t="s">
        <v>251</v>
      </c>
      <c r="B50" s="4">
        <v>1.4999999999999999E-2</v>
      </c>
      <c r="C50" s="4">
        <v>1.4999999999999999E-2</v>
      </c>
      <c r="D50" s="4">
        <v>1.4999999999999999E-2</v>
      </c>
      <c r="E50" s="4">
        <v>2.1000000000000001E-2</v>
      </c>
      <c r="F50" s="4">
        <v>2.1000000000000001E-2</v>
      </c>
      <c r="G50" s="302">
        <f>IF(Request!$U$34="NICRA",$F50,0.021)</f>
        <v>2.1000000000000001E-2</v>
      </c>
      <c r="H50" s="4">
        <f>IF(Request!$U$34="NICRA",$F50,ROUND(G50*1.03,3))</f>
        <v>2.1999999999999999E-2</v>
      </c>
      <c r="I50" s="4">
        <f>IF(Request!$U$34="NICRA",$F50,ROUND(H50*1.03,3))</f>
        <v>2.3E-2</v>
      </c>
      <c r="J50" s="4">
        <f>IF(Request!$U$34="NICRA",$F50,ROUND(I50*1.03,3))</f>
        <v>2.4E-2</v>
      </c>
      <c r="K50" s="4">
        <f>IF(Request!$U$34="NICRA",$F50,ROUND(J50*1.03,3))</f>
        <v>2.5000000000000001E-2</v>
      </c>
      <c r="L50" s="4">
        <f>IF(Request!$U$34="NICRA",$F50,ROUND(K50*1.03,3))</f>
        <v>2.5999999999999999E-2</v>
      </c>
      <c r="M50" s="4">
        <f>IF(Request!$U$34="NICRA",$F50,ROUND(L50*1.03,3))</f>
        <v>2.7E-2</v>
      </c>
      <c r="N50" s="4">
        <f>IF(Request!$U$34="NICRA",$F50,ROUND(M50*1.03,3))</f>
        <v>2.8000000000000001E-2</v>
      </c>
      <c r="O50" s="4">
        <f>IF(Request!$U$34="NICRA",$F50,ROUND(N50*1.03,3))</f>
        <v>2.9000000000000001E-2</v>
      </c>
      <c r="P50" s="4">
        <f>IF(Request!$U$34="NICRA",$F50,ROUND(O50*1.03,3))</f>
        <v>0.03</v>
      </c>
      <c r="Q50" s="4">
        <f>IF(Request!$U$34="NICRA",$F50,ROUND(P50*1.03,3))</f>
        <v>3.1E-2</v>
      </c>
      <c r="R50" s="4">
        <f>IF(Request!$U$34="NICRA",$F50,ROUND(Q50*1.03,3))</f>
        <v>3.2000000000000001E-2</v>
      </c>
      <c r="S50" s="4"/>
      <c r="T50" s="1">
        <f t="shared" si="2"/>
        <v>1.2800000000000001E-2</v>
      </c>
    </row>
    <row r="51" spans="1:20" x14ac:dyDescent="0.2">
      <c r="A51" s="4" t="s">
        <v>252</v>
      </c>
      <c r="B51" s="4">
        <v>5.8999999999999997E-2</v>
      </c>
      <c r="C51" s="4">
        <v>5.8999999999999997E-2</v>
      </c>
      <c r="D51" s="4">
        <v>5.8999999999999997E-2</v>
      </c>
      <c r="E51" s="4">
        <v>6.3E-2</v>
      </c>
      <c r="F51" s="4">
        <v>6.3E-2</v>
      </c>
      <c r="G51" s="302">
        <f>IF(Request!$U$34="NICRA",$F51,0.064)</f>
        <v>6.4000000000000001E-2</v>
      </c>
      <c r="H51" s="4">
        <f>IF(Request!$U$34="NICRA",$F51,ROUND(G51*1.03,3))</f>
        <v>6.6000000000000003E-2</v>
      </c>
      <c r="I51" s="4">
        <f>IF(Request!$U$34="NICRA",$F51,ROUND(H51*1.03,3))</f>
        <v>6.8000000000000005E-2</v>
      </c>
      <c r="J51" s="4">
        <f>IF(Request!$U$34="NICRA",$F51,ROUND(I51*1.03,3))</f>
        <v>7.0000000000000007E-2</v>
      </c>
      <c r="K51" s="4">
        <f>IF(Request!$U$34="NICRA",$F51,ROUND(J51*1.03,3))</f>
        <v>7.1999999999999995E-2</v>
      </c>
      <c r="L51" s="4">
        <f>IF(Request!$U$34="NICRA",$F51,ROUND(K51*1.03,3))</f>
        <v>7.3999999999999996E-2</v>
      </c>
      <c r="M51" s="4">
        <f>IF(Request!$U$34="NICRA",$F51,ROUND(L51*1.03,3))</f>
        <v>7.5999999999999998E-2</v>
      </c>
      <c r="N51" s="4">
        <f>IF(Request!$U$34="NICRA",$F51,ROUND(M51*1.03,3))</f>
        <v>7.8E-2</v>
      </c>
      <c r="O51" s="4">
        <f>IF(Request!$U$34="NICRA",$F51,ROUND(N51*1.03,3))</f>
        <v>0.08</v>
      </c>
      <c r="P51" s="4">
        <f>IF(Request!$U$34="NICRA",$F51,ROUND(O51*1.03,3))</f>
        <v>8.2000000000000003E-2</v>
      </c>
      <c r="Q51" s="4">
        <f>IF(Request!$U$34="NICRA",$F51,ROUND(P51*1.03,3))</f>
        <v>8.4000000000000005E-2</v>
      </c>
      <c r="R51" s="4">
        <f>IF(Request!$U$34="NICRA",$F51,ROUND(Q51*1.03,3))</f>
        <v>8.6999999999999994E-2</v>
      </c>
      <c r="S51" s="4"/>
      <c r="T51" s="1">
        <f t="shared" si="2"/>
        <v>1.2800000000000001E-2</v>
      </c>
    </row>
    <row r="53" spans="1:20" x14ac:dyDescent="0.2">
      <c r="B53" s="315" t="s">
        <v>7</v>
      </c>
      <c r="C53" s="316"/>
      <c r="D53" s="315" t="s">
        <v>8</v>
      </c>
      <c r="E53" s="316"/>
      <c r="F53" s="315" t="s">
        <v>9</v>
      </c>
      <c r="G53" s="316"/>
      <c r="H53" s="315" t="s">
        <v>18</v>
      </c>
      <c r="I53" s="316"/>
      <c r="J53" s="315" t="s">
        <v>10</v>
      </c>
      <c r="K53" s="316"/>
    </row>
    <row r="54" spans="1:20" x14ac:dyDescent="0.2">
      <c r="A54" s="9" t="s">
        <v>35</v>
      </c>
      <c r="B54" s="11" t="s">
        <v>36</v>
      </c>
      <c r="C54" s="11" t="s">
        <v>37</v>
      </c>
      <c r="D54" s="11" t="s">
        <v>36</v>
      </c>
      <c r="E54" s="11" t="s">
        <v>37</v>
      </c>
      <c r="F54" s="11" t="s">
        <v>36</v>
      </c>
      <c r="G54" s="11" t="s">
        <v>37</v>
      </c>
      <c r="H54" s="11" t="s">
        <v>36</v>
      </c>
      <c r="I54" s="11" t="s">
        <v>37</v>
      </c>
      <c r="J54" s="11" t="s">
        <v>36</v>
      </c>
      <c r="K54" s="11" t="s">
        <v>37</v>
      </c>
    </row>
    <row r="55" spans="1:20" x14ac:dyDescent="0.2">
      <c r="A55" s="4" t="s">
        <v>259</v>
      </c>
      <c r="B55" s="4">
        <f>INDEX(Worksheet!$B35:$Q35,MATCH(Worksheet!$C$4,Worksheet!$B$34:$Q$34))+IF(Request!$R$34="Yes",Worksheet!$T$36,0)</f>
        <v>0.255</v>
      </c>
      <c r="C55" s="4">
        <f>IF($C$7=0,B55,(INDEX(Worksheet!$C35:$R35,MATCH(Worksheet!$C$4,Worksheet!$C$33:$R$33))+IF(Request!$R$34="Yes",Worksheet!$T$36,0)))</f>
        <v>0.26300000000000001</v>
      </c>
      <c r="D55" s="4">
        <f>IF($D$5=0,"",IF(Request!$U$34&lt;&gt;"Yes",Worksheet!$B55,(INDEX(Worksheet!$B35:$Q35,MATCH(Worksheet!$D$4,Worksheet!$B$34:$Q$34))+IF(Request!$R$34="Yes",Worksheet!$T$36,0))))</f>
        <v>0.26300000000000001</v>
      </c>
      <c r="E55" s="4">
        <f>IF($D$5=0,"",IF(D7=0,D55,(IF(Request!$U$34&lt;&gt;"Yes",Worksheet!$C55,IF($D$7=0,D55,(INDEX(Worksheet!$C35:$R35,MATCH(Worksheet!$D$4,Worksheet!$C$33:$R$33))+IF(Request!$R$34="Yes",Worksheet!$T$36,0)))))))</f>
        <v>0.27100000000000002</v>
      </c>
      <c r="F55" s="4">
        <f>IF($E$5=0,"",IF(Request!$U$34&lt;&gt;"Yes",Worksheet!$B55,(INDEX(Worksheet!$B35:$Q35,MATCH(Worksheet!$E$4,Worksheet!$B$34:$Q$34))+IF(Request!$R$34="Yes",Worksheet!$T$36,0))))</f>
        <v>0.27100000000000002</v>
      </c>
      <c r="G55" s="4">
        <f>IF($E$5=0,"",IF(Request!$U$34&lt;&gt;"Yes",Worksheet!$C55,IF($E$7=0,F55,(INDEX(Worksheet!$C35:$R35,MATCH(Worksheet!$E$4,Worksheet!$C$33:$R$33))+IF(Request!$R$34="Yes",Worksheet!$T$36,0)))))</f>
        <v>0.27900000000000003</v>
      </c>
      <c r="H55" s="4">
        <f>IF($F$5=0,"",IF(Request!$U$34&lt;&gt;"Yes",Worksheet!$B55,(INDEX(Worksheet!$B35:$Q35,MATCH(Worksheet!$F$4,Worksheet!$B$34:$Q$34))+IF(Request!$R$34="Yes",Worksheet!$T$36,0))))</f>
        <v>0.27900000000000003</v>
      </c>
      <c r="I55" s="4">
        <f>IF($F$5=0,"",IF(Request!$U$34&lt;&gt;"Yes",Worksheet!$C55,IF($F$7=0,H55,(INDEX(Worksheet!$C35:$R35,MATCH(Worksheet!$F$4,Worksheet!$C$33:$R$33))+IF(Request!$R$34="Yes",Worksheet!$T$36,0)))))</f>
        <v>0.28699999999999998</v>
      </c>
      <c r="J55" s="4">
        <f>IF($G$5=0,"",IF(Request!$U$34&lt;&gt;"Yes",Worksheet!$B55,(INDEX(Worksheet!$B35:$Q35,MATCH(Worksheet!$G$4,Worksheet!$B$34:$Q$34))+IF(Request!$R$34="Yes",Worksheet!$T$36,0))))</f>
        <v>0.28699999999999998</v>
      </c>
      <c r="K55" s="4">
        <f>IF($G$5=0,"",IF(Request!$U$34&lt;&gt;"Yes",Worksheet!$C55,IF($G$7=0,J55,(INDEX(Worksheet!$C35:$R35,MATCH(Worksheet!$G$4,Worksheet!$C$33:$R$33))+IF(Request!$R$34="Yes",Worksheet!$T$36,0)))))</f>
        <v>0.29599999999999999</v>
      </c>
    </row>
    <row r="56" spans="1:20" x14ac:dyDescent="0.2">
      <c r="A56" s="4" t="s">
        <v>260</v>
      </c>
      <c r="B56" s="4">
        <f>INDEX(Worksheet!$B36:$Q36,MATCH(Worksheet!$C$4,Worksheet!$B$34:$Q$34))+IF(Request!$R$34="Yes",Worksheet!$T$36,0)</f>
        <v>0.255</v>
      </c>
      <c r="C56" s="4">
        <f>IF($C$7=0,B56,(INDEX(Worksheet!$C36:$R36,MATCH(Worksheet!$C$4,Worksheet!$C$33:$R$33))+IF(Request!$R$34="Yes",Worksheet!$T$36,0)))</f>
        <v>0.26300000000000001</v>
      </c>
      <c r="D56" s="4">
        <f>IF($D$5=0,"",IF(Request!$U$34&lt;&gt;"Yes",Worksheet!$B56,(INDEX(Worksheet!$B36:$Q36,MATCH(Worksheet!$D$4,Worksheet!$B$34:$Q$34))+IF(Request!$R$34="Yes",Worksheet!$T$36,0))))</f>
        <v>0.26300000000000001</v>
      </c>
      <c r="E56" s="4">
        <f>IF($D$5=0,"",IF(D8=0,D56,(IF(Request!$U$34&lt;&gt;"Yes",Worksheet!$C56,IF($D$7=0,D56,(INDEX(Worksheet!$C36:$R36,MATCH(Worksheet!$D$4,Worksheet!$C$33:$R$33))+IF(Request!$R$34="Yes",Worksheet!$T$36,0)))))))</f>
        <v>0.27100000000000002</v>
      </c>
      <c r="F56" s="4">
        <f>IF($E$5=0,"",IF(Request!$U$34&lt;&gt;"Yes",Worksheet!$B56,(INDEX(Worksheet!$B36:$Q36,MATCH(Worksheet!$E$4,Worksheet!$B$34:$Q$34))+IF(Request!$R$34="Yes",Worksheet!$T$36,0))))</f>
        <v>0.27100000000000002</v>
      </c>
      <c r="G56" s="4">
        <f>IF($E$5=0,"",IF(Request!$U$34&lt;&gt;"Yes",Worksheet!$C56,IF($E$7=0,F56,(INDEX(Worksheet!$C36:$R36,MATCH(Worksheet!$E$4,Worksheet!$C$33:$R$33))+IF(Request!$R$34="Yes",Worksheet!$T$36,0)))))</f>
        <v>0.27900000000000003</v>
      </c>
      <c r="H56" s="4">
        <f>IF($F$5=0,"",IF(Request!$U$34&lt;&gt;"Yes",Worksheet!$B56,(INDEX(Worksheet!$B36:$Q36,MATCH(Worksheet!$F$4,Worksheet!$B$34:$Q$34))+IF(Request!$R$34="Yes",Worksheet!$T$36,0))))</f>
        <v>0.27900000000000003</v>
      </c>
      <c r="I56" s="4">
        <f>IF($F$5=0,"",IF(Request!$U$34&lt;&gt;"Yes",Worksheet!$C56,IF($F$7=0,H56,(INDEX(Worksheet!$C36:$R36,MATCH(Worksheet!$F$4,Worksheet!$C$33:$R$33))+IF(Request!$R$34="Yes",Worksheet!$T$36,0)))))</f>
        <v>0.28699999999999998</v>
      </c>
      <c r="J56" s="4">
        <f>IF($G$5=0,"",IF(Request!$U$34&lt;&gt;"Yes",Worksheet!$B56,(INDEX(Worksheet!$B36:$Q36,MATCH(Worksheet!$G$4,Worksheet!$B$34:$Q$34))+IF(Request!$R$34="Yes",Worksheet!$T$36,0))))</f>
        <v>0.28699999999999998</v>
      </c>
      <c r="K56" s="4">
        <f>IF($G$5=0,"",IF(Request!$U$34&lt;&gt;"Yes",Worksheet!$C56,IF($G$7=0,J56,(INDEX(Worksheet!$C36:$R36,MATCH(Worksheet!$G$4,Worksheet!$C$33:$R$33))+IF(Request!$R$34="Yes",Worksheet!$T$36,0)))))</f>
        <v>0.29599999999999999</v>
      </c>
    </row>
    <row r="57" spans="1:20" x14ac:dyDescent="0.2">
      <c r="A57" s="4" t="s">
        <v>261</v>
      </c>
      <c r="B57" s="4">
        <f>INDEX(Worksheet!$B37:$Q37,MATCH(Worksheet!$C$4,Worksheet!$B$34:$Q$34))+IF(Request!$R$34="Yes",Worksheet!$T$36,0)</f>
        <v>0.34100000000000003</v>
      </c>
      <c r="C57" s="4">
        <f>IF($C$7=0,B57,(INDEX(Worksheet!$C37:$R37,MATCH(Worksheet!$C$4,Worksheet!$C$33:$R$33))+IF(Request!$R$34="Yes",Worksheet!$T$36,0)))</f>
        <v>0.35099999999999998</v>
      </c>
      <c r="D57" s="4">
        <f>IF($D$5=0,"",IF(Request!$U$34&lt;&gt;"Yes",Worksheet!$B57,(INDEX(Worksheet!$B37:$Q37,MATCH(Worksheet!$D$4,Worksheet!$B$34:$Q$34))+IF(Request!$R$34="Yes",Worksheet!$T$36,0))))</f>
        <v>0.35099999999999998</v>
      </c>
      <c r="E57" s="4">
        <f>IF($D$5=0,"",IF(D9=0,D57,(IF(Request!$U$34&lt;&gt;"Yes",Worksheet!$C57,IF($D$7=0,D57,(INDEX(Worksheet!$C37:$R37,MATCH(Worksheet!$D$4,Worksheet!$C$33:$R$33))+IF(Request!$R$34="Yes",Worksheet!$T$36,0)))))))</f>
        <v>0.36199999999999999</v>
      </c>
      <c r="F57" s="4">
        <f>IF($E$5=0,"",IF(Request!$U$34&lt;&gt;"Yes",Worksheet!$B57,(INDEX(Worksheet!$B37:$Q37,MATCH(Worksheet!$E$4,Worksheet!$B$34:$Q$34))+IF(Request!$R$34="Yes",Worksheet!$T$36,0))))</f>
        <v>0.36199999999999999</v>
      </c>
      <c r="G57" s="4">
        <f>IF($E$5=0,"",IF(Request!$U$34&lt;&gt;"Yes",Worksheet!$C57,IF($E$7=0,F57,(INDEX(Worksheet!$C37:$R37,MATCH(Worksheet!$E$4,Worksheet!$C$33:$R$33))+IF(Request!$R$34="Yes",Worksheet!$T$36,0)))))</f>
        <v>0.373</v>
      </c>
      <c r="H57" s="4">
        <f>IF($F$5=0,"",IF(Request!$U$34&lt;&gt;"Yes",Worksheet!$B57,(INDEX(Worksheet!$B37:$Q37,MATCH(Worksheet!$F$4,Worksheet!$B$34:$Q$34))+IF(Request!$R$34="Yes",Worksheet!$T$36,0))))</f>
        <v>0.373</v>
      </c>
      <c r="I57" s="4">
        <f>IF($F$5=0,"",IF(Request!$U$34&lt;&gt;"Yes",Worksheet!$C57,IF($F$7=0,H57,(INDEX(Worksheet!$C37:$R37,MATCH(Worksheet!$F$4,Worksheet!$C$33:$R$33))+IF(Request!$R$34="Yes",Worksheet!$T$36,0)))))</f>
        <v>0.38400000000000001</v>
      </c>
      <c r="J57" s="4">
        <f>IF($G$5=0,"",IF(Request!$U$34&lt;&gt;"Yes",Worksheet!$B57,(INDEX(Worksheet!$B37:$Q37,MATCH(Worksheet!$G$4,Worksheet!$B$34:$Q$34))+IF(Request!$R$34="Yes",Worksheet!$T$36,0))))</f>
        <v>0.38400000000000001</v>
      </c>
      <c r="K57" s="4">
        <f>IF($G$5=0,"",IF(Request!$U$34&lt;&gt;"Yes",Worksheet!$C57,IF($G$7=0,J57,(INDEX(Worksheet!$C37:$R37,MATCH(Worksheet!$G$4,Worksheet!$C$33:$R$33))+IF(Request!$R$34="Yes",Worksheet!$T$36,0)))))</f>
        <v>0.39600000000000002</v>
      </c>
      <c r="L57" s="16"/>
    </row>
    <row r="58" spans="1:20" x14ac:dyDescent="0.2">
      <c r="A58" s="4" t="s">
        <v>262</v>
      </c>
      <c r="B58" s="4">
        <f>INDEX(Worksheet!$B38:$Q38,MATCH(Worksheet!$C$4,Worksheet!$B$34:$Q$34))+IF(Request!$R$34="Yes",Worksheet!$T$36,0)</f>
        <v>0.38400000000000001</v>
      </c>
      <c r="C58" s="4">
        <f>IF($C$7=0,B58,(INDEX(Worksheet!$C38:$R38,MATCH(Worksheet!$C$4,Worksheet!$C$33:$R$33))+IF(Request!$R$34="Yes",Worksheet!$T$36,0)))</f>
        <v>0.39600000000000002</v>
      </c>
      <c r="D58" s="4">
        <f>IF($D$5=0,"",IF(Request!$U$34&lt;&gt;"Yes",Worksheet!$B58,(INDEX(Worksheet!$B38:$Q38,MATCH(Worksheet!$D$4,Worksheet!$B$34:$Q$34))+IF(Request!$R$34="Yes",Worksheet!$T$36,0))))</f>
        <v>0.39600000000000002</v>
      </c>
      <c r="E58" s="4">
        <f>IF($D$5=0,"",IF(D10=0,D58,(IF(Request!$U$34&lt;&gt;"Yes",Worksheet!$C58,IF($D$7=0,D58,(INDEX(Worksheet!$C38:$R38,MATCH(Worksheet!$D$4,Worksheet!$C$33:$R$33))+IF(Request!$R$34="Yes",Worksheet!$T$36,0)))))))</f>
        <v>0.40799999999999997</v>
      </c>
      <c r="F58" s="4">
        <f>IF($E$5=0,"",IF(Request!$U$34&lt;&gt;"Yes",Worksheet!$B58,(INDEX(Worksheet!$B38:$Q38,MATCH(Worksheet!$E$4,Worksheet!$B$34:$Q$34))+IF(Request!$R$34="Yes",Worksheet!$T$36,0))))</f>
        <v>0.40799999999999997</v>
      </c>
      <c r="G58" s="4">
        <f>IF($E$5=0,"",IF(Request!$U$34&lt;&gt;"Yes",Worksheet!$C58,IF($E$7=0,F58,(INDEX(Worksheet!$C38:$R38,MATCH(Worksheet!$E$4,Worksheet!$C$33:$R$33))+IF(Request!$R$34="Yes",Worksheet!$T$36,0)))))</f>
        <v>0.42</v>
      </c>
      <c r="H58" s="4">
        <f>IF($F$5=0,"",IF(Request!$U$34&lt;&gt;"Yes",Worksheet!$B58,(INDEX(Worksheet!$B38:$Q38,MATCH(Worksheet!$F$4,Worksheet!$B$34:$Q$34))+IF(Request!$R$34="Yes",Worksheet!$T$36,0))))</f>
        <v>0.42</v>
      </c>
      <c r="I58" s="4">
        <f>IF($F$5=0,"",IF(Request!$U$34&lt;&gt;"Yes",Worksheet!$C58,IF($F$7=0,H58,(INDEX(Worksheet!$C38:$R38,MATCH(Worksheet!$F$4,Worksheet!$C$33:$R$33))+IF(Request!$R$34="Yes",Worksheet!$T$36,0)))))</f>
        <v>0.433</v>
      </c>
      <c r="J58" s="4">
        <f>IF($G$5=0,"",IF(Request!$U$34&lt;&gt;"Yes",Worksheet!$B58,(INDEX(Worksheet!$B38:$Q38,MATCH(Worksheet!$G$4,Worksheet!$B$34:$Q$34))+IF(Request!$R$34="Yes",Worksheet!$T$36,0))))</f>
        <v>0.433</v>
      </c>
      <c r="K58" s="4">
        <f>IF($G$5=0,"",IF(Request!$U$34&lt;&gt;"Yes",Worksheet!$C58,IF($G$7=0,J58,(INDEX(Worksheet!$C38:$R38,MATCH(Worksheet!$G$4,Worksheet!$C$33:$R$33))+IF(Request!$R$34="Yes",Worksheet!$T$36,0)))))</f>
        <v>0.44600000000000001</v>
      </c>
    </row>
    <row r="59" spans="1:20" x14ac:dyDescent="0.2">
      <c r="A59" s="4" t="s">
        <v>263</v>
      </c>
      <c r="B59" s="4">
        <f>INDEX(Worksheet!$B39:$Q39,MATCH(Worksheet!$C$4,Worksheet!$B$34:$Q$34))+IF(Request!$R$34="Yes",Worksheet!$T$36,0)</f>
        <v>0.53100000000000003</v>
      </c>
      <c r="C59" s="4">
        <f>IF($C$7=0,B59,(INDEX(Worksheet!$C39:$R39,MATCH(Worksheet!$C$4,Worksheet!$C$33:$R$33))+IF(Request!$R$34="Yes",Worksheet!$T$36,0)))</f>
        <v>0.54700000000000004</v>
      </c>
      <c r="D59" s="4">
        <f>IF($D$5=0,"",IF(Request!$U$34&lt;&gt;"Yes",Worksheet!$B59,(INDEX(Worksheet!$B39:$Q39,MATCH(Worksheet!$D$4,Worksheet!$B$34:$Q$34))+IF(Request!$R$34="Yes",Worksheet!$T$36,0))))</f>
        <v>0.54700000000000004</v>
      </c>
      <c r="E59" s="4">
        <f>IF($D$5=0,"",IF(D11=0,D59,(IF(Request!$U$34&lt;&gt;"Yes",Worksheet!$C59,IF($D$7=0,D59,(INDEX(Worksheet!$C39:$R39,MATCH(Worksheet!$D$4,Worksheet!$C$33:$R$33))+IF(Request!$R$34="Yes",Worksheet!$T$36,0)))))))</f>
        <v>0.56299999999999994</v>
      </c>
      <c r="F59" s="4">
        <f>IF($E$5=0,"",IF(Request!$U$34&lt;&gt;"Yes",Worksheet!$B59,(INDEX(Worksheet!$B39:$Q39,MATCH(Worksheet!$E$4,Worksheet!$B$34:$Q$34))+IF(Request!$R$34="Yes",Worksheet!$T$36,0))))</f>
        <v>0.56299999999999994</v>
      </c>
      <c r="G59" s="4">
        <f>IF($E$5=0,"",IF(Request!$U$34&lt;&gt;"Yes",Worksheet!$C59,IF($E$7=0,F59,(INDEX(Worksheet!$C39:$R39,MATCH(Worksheet!$E$4,Worksheet!$C$33:$R$33))+IF(Request!$R$34="Yes",Worksheet!$T$36,0)))))</f>
        <v>0.57999999999999996</v>
      </c>
      <c r="H59" s="4">
        <f>IF($F$5=0,"",IF(Request!$U$34&lt;&gt;"Yes",Worksheet!$B59,(INDEX(Worksheet!$B39:$Q39,MATCH(Worksheet!$F$4,Worksheet!$B$34:$Q$34))+IF(Request!$R$34="Yes",Worksheet!$T$36,0))))</f>
        <v>0.57999999999999996</v>
      </c>
      <c r="I59" s="4">
        <f>IF($F$5=0,"",IF(Request!$U$34&lt;&gt;"Yes",Worksheet!$C59,IF($F$7=0,H59,(INDEX(Worksheet!$C39:$R39,MATCH(Worksheet!$F$4,Worksheet!$C$33:$R$33))+IF(Request!$R$34="Yes",Worksheet!$T$36,0)))))</f>
        <v>0.59699999999999998</v>
      </c>
      <c r="J59" s="4">
        <f>IF($G$5=0,"",IF(Request!$U$34&lt;&gt;"Yes",Worksheet!$B59,(INDEX(Worksheet!$B39:$Q39,MATCH(Worksheet!$G$4,Worksheet!$B$34:$Q$34))+IF(Request!$R$34="Yes",Worksheet!$T$36,0))))</f>
        <v>0.59699999999999998</v>
      </c>
      <c r="K59" s="4">
        <f>IF($G$5=0,"",IF(Request!$U$34&lt;&gt;"Yes",Worksheet!$C59,IF($G$7=0,J59,(INDEX(Worksheet!$C39:$R39,MATCH(Worksheet!$G$4,Worksheet!$C$33:$R$33))+IF(Request!$R$34="Yes",Worksheet!$T$36,0)))))</f>
        <v>0.61499999999999999</v>
      </c>
    </row>
    <row r="60" spans="1:20" x14ac:dyDescent="0.2">
      <c r="A60" s="4" t="s">
        <v>264</v>
      </c>
      <c r="B60" s="4">
        <f>INDEX(Worksheet!$B40:$Q40,MATCH(Worksheet!$C$4,Worksheet!$B$34:$Q$34))+IF(Request!$R$34="Yes",Worksheet!$T$36,0)</f>
        <v>0.66100000000000003</v>
      </c>
      <c r="C60" s="4">
        <f>IF($C$7=0,B60,(INDEX(Worksheet!$C40:$R40,MATCH(Worksheet!$C$4,Worksheet!$C$33:$R$33))+IF(Request!$R$34="Yes",Worksheet!$T$36,0)))</f>
        <v>0.68100000000000005</v>
      </c>
      <c r="D60" s="4">
        <f>IF($D$5=0,"",IF(Request!$U$34&lt;&gt;"Yes",Worksheet!$B60,(INDEX(Worksheet!$B40:$Q40,MATCH(Worksheet!$D$4,Worksheet!$B$34:$Q$34))+IF(Request!$R$34="Yes",Worksheet!$T$36,0))))</f>
        <v>0.68100000000000005</v>
      </c>
      <c r="E60" s="4">
        <f>IF($D$5=0,"",IF(D12=0,D60,(IF(Request!$U$34&lt;&gt;"Yes",Worksheet!$C60,IF($D$7=0,D60,(INDEX(Worksheet!$C40:$R40,MATCH(Worksheet!$D$4,Worksheet!$C$33:$R$33))+IF(Request!$R$34="Yes",Worksheet!$T$36,0)))))))</f>
        <v>0.70099999999999996</v>
      </c>
      <c r="F60" s="4">
        <f>IF($E$5=0,"",IF(Request!$U$34&lt;&gt;"Yes",Worksheet!$B60,(INDEX(Worksheet!$B40:$Q40,MATCH(Worksheet!$E$4,Worksheet!$B$34:$Q$34))+IF(Request!$R$34="Yes",Worksheet!$T$36,0))))</f>
        <v>0.70099999999999996</v>
      </c>
      <c r="G60" s="4">
        <f>IF($E$5=0,"",IF(Request!$U$34&lt;&gt;"Yes",Worksheet!$C60,IF($E$7=0,F60,(INDEX(Worksheet!$C40:$R40,MATCH(Worksheet!$E$4,Worksheet!$C$33:$R$33))+IF(Request!$R$34="Yes",Worksheet!$T$36,0)))))</f>
        <v>0.72199999999999998</v>
      </c>
      <c r="H60" s="4">
        <f>IF($F$5=0,"",IF(Request!$U$34&lt;&gt;"Yes",Worksheet!$B60,(INDEX(Worksheet!$B40:$Q40,MATCH(Worksheet!$F$4,Worksheet!$B$34:$Q$34))+IF(Request!$R$34="Yes",Worksheet!$T$36,0))))</f>
        <v>0.72199999999999998</v>
      </c>
      <c r="I60" s="4">
        <f>IF($F$5=0,"",IF(Request!$U$34&lt;&gt;"Yes",Worksheet!$C60,IF($F$7=0,H60,(INDEX(Worksheet!$C40:$R40,MATCH(Worksheet!$F$4,Worksheet!$C$33:$R$33))+IF(Request!$R$34="Yes",Worksheet!$T$36,0)))))</f>
        <v>0.74399999999999999</v>
      </c>
      <c r="J60" s="4">
        <f>IF($G$5=0,"",IF(Request!$U$34&lt;&gt;"Yes",Worksheet!$B60,(INDEX(Worksheet!$B40:$Q40,MATCH(Worksheet!$G$4,Worksheet!$B$34:$Q$34))+IF(Request!$R$34="Yes",Worksheet!$T$36,0))))</f>
        <v>0.74399999999999999</v>
      </c>
      <c r="K60" s="4">
        <f>IF($G$5=0,"",IF(Request!$U$34&lt;&gt;"Yes",Worksheet!$C60,IF($G$7=0,J60,(INDEX(Worksheet!$C40:$R40,MATCH(Worksheet!$G$4,Worksheet!$C$33:$R$33))+IF(Request!$R$34="Yes",Worksheet!$T$36,0)))))</f>
        <v>0.76600000000000001</v>
      </c>
    </row>
    <row r="61" spans="1:20" x14ac:dyDescent="0.2">
      <c r="A61" s="4" t="s">
        <v>265</v>
      </c>
      <c r="B61" s="4">
        <f>INDEX(Worksheet!$B41:$Q41,MATCH(Worksheet!$C$4,Worksheet!$B$34:$Q$34))</f>
        <v>0.26300000000000001</v>
      </c>
      <c r="C61" s="4">
        <f>IF($C$7=0,B61,(INDEX(Worksheet!$C41:$R41,MATCH(Worksheet!$C$4,Worksheet!$C$33:$R$33))))</f>
        <v>0.27100000000000002</v>
      </c>
      <c r="D61" s="4">
        <f>IF($D$5=0,"",IF(Request!$U$34&lt;&gt;"Yes",Worksheet!$B61,(INDEX(Worksheet!$B41:$Q41,MATCH(Worksheet!$D$4,Worksheet!$B$34:$Q$34)))))</f>
        <v>0.27100000000000002</v>
      </c>
      <c r="E61" s="4">
        <f>IF(Request!$U$34&lt;&gt;"Yes",Worksheet!$C61,IF($D$7=0,D61,(INDEX(Worksheet!$C41:$R41,MATCH(Worksheet!$D$4,Worksheet!$C$33:$R$33)))))</f>
        <v>0.27900000000000003</v>
      </c>
      <c r="F61" s="4">
        <f>IF($E$5=0,"",IF(Request!$U$34&lt;&gt;"Yes",Worksheet!$B61,(INDEX(Worksheet!$B41:$Q41,MATCH(Worksheet!$E$4,Worksheet!$B$34:$Q$34)))))</f>
        <v>0.27900000000000003</v>
      </c>
      <c r="G61" s="4">
        <f>IF($E$5=0,"",IF(Request!$U$34&lt;&gt;"Yes",Worksheet!$C61,IF($E$7=0,F61,(INDEX(Worksheet!$C41:$R41,MATCH(Worksheet!$E$4,Worksheet!$C$33:$R$33))))))</f>
        <v>0.28699999999999998</v>
      </c>
      <c r="H61" s="4">
        <f>IF($F$5=0,"",IF(Request!$U$34&lt;&gt;"Yes",Worksheet!$B61,(INDEX(Worksheet!$B41:$Q41,MATCH(Worksheet!$F$4,Worksheet!$B$34:$Q$34)))))</f>
        <v>0.28699999999999998</v>
      </c>
      <c r="I61" s="4">
        <f>IF($F$5=0,"",IF(Request!$U$34&lt;&gt;"Yes",Worksheet!$C61,IF($F$7=0,H61,(INDEX(Worksheet!$C41:$R41,MATCH(Worksheet!$F$4,Worksheet!$C$33:$R$33))))))</f>
        <v>0.29599999999999999</v>
      </c>
      <c r="J61" s="4">
        <f>IF($G$5=0,"",IF(Request!$U$34&lt;&gt;"Yes",Worksheet!$B61,(INDEX(Worksheet!$B41:$Q41,MATCH(Worksheet!$G$4,Worksheet!$B$34:$Q$34)))))</f>
        <v>0.29599999999999999</v>
      </c>
      <c r="K61" s="4">
        <f>IF($G$5=0,"",IF(Request!$U$34&lt;&gt;"Yes",Worksheet!$C61,IF($G$7=0,J61,(INDEX(Worksheet!$C41:$R41,MATCH(Worksheet!$G$4,Worksheet!$C$33:$R$33))))))</f>
        <v>0.30499999999999999</v>
      </c>
    </row>
    <row r="62" spans="1:20" x14ac:dyDescent="0.2">
      <c r="A62" s="4" t="s">
        <v>266</v>
      </c>
      <c r="B62" s="4">
        <f>INDEX(Worksheet!$B42:$Q42,MATCH(Worksheet!$C$4,Worksheet!$B$34:$Q$34))</f>
        <v>1.9E-2</v>
      </c>
      <c r="C62" s="4">
        <f>IF($C$7=0,B62,(INDEX(Worksheet!$C42:$R42,MATCH(Worksheet!$C$4,Worksheet!$C$33:$R$33))))</f>
        <v>0.02</v>
      </c>
      <c r="D62" s="4">
        <f>IF($D$5=0,"",IF(Request!$U$34&lt;&gt;"Yes",Worksheet!$B62,(INDEX(Worksheet!$B42:$Q42,MATCH(Worksheet!$D$4,Worksheet!$B$34:$Q$34)))))</f>
        <v>0.02</v>
      </c>
      <c r="E62" s="4">
        <f>IF(Request!$U$34&lt;&gt;"Yes",Worksheet!$C62,IF($D$7=0,D62,(INDEX(Worksheet!$C42:$R42,MATCH(Worksheet!$D$4,Worksheet!$C$33:$R$33)))))</f>
        <v>2.1000000000000001E-2</v>
      </c>
      <c r="F62" s="4">
        <f>IF($E$5=0,"",IF(Request!$U$34&lt;&gt;"Yes",Worksheet!$B62,(INDEX(Worksheet!$B42:$Q42,MATCH(Worksheet!$E$4,Worksheet!$B$34:$Q$34)))))</f>
        <v>2.1000000000000001E-2</v>
      </c>
      <c r="G62" s="4">
        <f>IF($E$5=0,"",IF(Request!$U$34&lt;&gt;"Yes",Worksheet!$C62,IF($E$7=0,F62,(INDEX(Worksheet!$C42:$R42,MATCH(Worksheet!$E$4,Worksheet!$C$33:$R$33))))))</f>
        <v>2.1999999999999999E-2</v>
      </c>
      <c r="H62" s="4">
        <f>IF($F$5=0,"",IF(Request!$U$34&lt;&gt;"Yes",Worksheet!$B62,(INDEX(Worksheet!$B42:$Q42,MATCH(Worksheet!$F$4,Worksheet!$B$34:$Q$34)))))</f>
        <v>2.1999999999999999E-2</v>
      </c>
      <c r="I62" s="4">
        <f>IF($F$5=0,"",IF(Request!$U$34&lt;&gt;"Yes",Worksheet!$C62,IF($F$7=0,H62,(INDEX(Worksheet!$C42:$R42,MATCH(Worksheet!$F$4,Worksheet!$C$33:$R$33))))))</f>
        <v>2.3E-2</v>
      </c>
      <c r="J62" s="4">
        <f>IF($G$5=0,"",IF(Request!$U$34&lt;&gt;"Yes",Worksheet!$B62,(INDEX(Worksheet!$B42:$Q42,MATCH(Worksheet!$G$4,Worksheet!$B$34:$Q$34)))))</f>
        <v>2.3E-2</v>
      </c>
      <c r="K62" s="4">
        <f>IF($G$5=0,"",IF(Request!$U$34&lt;&gt;"Yes",Worksheet!$C62,IF($G$7=0,J62,(INDEX(Worksheet!$C42:$R42,MATCH(Worksheet!$G$4,Worksheet!$C$33:$R$33))))))</f>
        <v>2.4E-2</v>
      </c>
    </row>
    <row r="63" spans="1:20" x14ac:dyDescent="0.2">
      <c r="A63" s="4" t="s">
        <v>268</v>
      </c>
      <c r="B63" s="4">
        <f>INDEX(Worksheet!$B43:$Q43,MATCH(Worksheet!$C$4,Worksheet!$B$34:$Q$34))</f>
        <v>0.17399999999999999</v>
      </c>
      <c r="C63" s="4">
        <f>IF($C$7=0,B63,(INDEX(Worksheet!$C43:$R43,MATCH(Worksheet!$C$4,Worksheet!$C$33:$R$33))))</f>
        <v>0.17899999999999999</v>
      </c>
      <c r="D63" s="4">
        <f>IF($D$5=0,"",IF(Request!$U$34&lt;&gt;"Yes",Worksheet!$B63,(INDEX(Worksheet!$B43:$Q43,MATCH(Worksheet!$D$4,Worksheet!$B$34:$Q$34)))))</f>
        <v>0.17899999999999999</v>
      </c>
      <c r="E63" s="4">
        <f>IF(Request!$U$34&lt;&gt;"Yes",Worksheet!$C63,IF($D$7=0,D63,(INDEX(Worksheet!$C43:$R43,MATCH(Worksheet!$D$4,Worksheet!$C$33:$R$33)))))</f>
        <v>0.184</v>
      </c>
      <c r="F63" s="4">
        <f>IF($E$5=0,"",IF(Request!$U$34&lt;&gt;"Yes",Worksheet!$B63,(INDEX(Worksheet!$B43:$Q43,MATCH(Worksheet!$E$4,Worksheet!$B$34:$Q$34)))))</f>
        <v>0.184</v>
      </c>
      <c r="G63" s="4">
        <f>IF($E$5=0,"",IF(Request!$U$34&lt;&gt;"Yes",Worksheet!$C63,IF($E$7=0,F63,(INDEX(Worksheet!$C43:$R43,MATCH(Worksheet!$E$4,Worksheet!$C$33:$R$33))))))</f>
        <v>0.19</v>
      </c>
      <c r="H63" s="4">
        <f>IF($F$5=0,"",IF(Request!$U$34&lt;&gt;"Yes",Worksheet!$B63,(INDEX(Worksheet!$B43:$Q43,MATCH(Worksheet!$F$4,Worksheet!$B$34:$Q$34)))))</f>
        <v>0.19</v>
      </c>
      <c r="I63" s="4">
        <f>IF($F$5=0,"",IF(Request!$U$34&lt;&gt;"Yes",Worksheet!$C63,IF($F$7=0,H63,(INDEX(Worksheet!$C43:$R43,MATCH(Worksheet!$F$4,Worksheet!$C$33:$R$33))))))</f>
        <v>0.19600000000000001</v>
      </c>
      <c r="J63" s="4">
        <f>IF($G$5=0,"",IF(Request!$U$34&lt;&gt;"Yes",Worksheet!$B63,(INDEX(Worksheet!$B43:$Q43,MATCH(Worksheet!$G$4,Worksheet!$B$34:$Q$34)))))</f>
        <v>0.19600000000000001</v>
      </c>
      <c r="K63" s="4">
        <f>IF($G$5=0,"",IF(Request!$U$34&lt;&gt;"Yes",Worksheet!$C63,IF($G$7=0,J63,(INDEX(Worksheet!$C43:$R43,MATCH(Worksheet!$G$4,Worksheet!$C$33:$R$33))))))</f>
        <v>0.20200000000000001</v>
      </c>
    </row>
    <row r="64" spans="1:20" x14ac:dyDescent="0.2">
      <c r="A64" s="4" t="s">
        <v>267</v>
      </c>
      <c r="B64" s="4">
        <f>INDEX(Worksheet!$B44:$Q44,MATCH(Worksheet!$C$4,Worksheet!$B$34:$Q$34))</f>
        <v>3.5999999999999997E-2</v>
      </c>
      <c r="C64" s="4">
        <f>IF($C$7=0,B64,(INDEX(Worksheet!$C44:$R44,MATCH(Worksheet!$C$4,Worksheet!$C$33:$R$33))))</f>
        <v>3.6999999999999998E-2</v>
      </c>
      <c r="D64" s="4">
        <f>IF($D$5=0,"",IF(Request!$U$34&lt;&gt;"Yes",Worksheet!$B64,(INDEX(Worksheet!$B44:$Q44,MATCH(Worksheet!$D$4,Worksheet!$B$34:$Q$34)))))</f>
        <v>3.6999999999999998E-2</v>
      </c>
      <c r="E64" s="4">
        <f>IF(Request!$U$34&lt;&gt;"Yes",Worksheet!$C64,IF($D$7=0,D64,(INDEX(Worksheet!$C44:$R44,MATCH(Worksheet!$D$4,Worksheet!$C$33:$R$33)))))</f>
        <v>3.7999999999999999E-2</v>
      </c>
      <c r="F64" s="4">
        <f>IF($E$5=0,"",IF(Request!$U$34&lt;&gt;"Yes",Worksheet!$B64,(INDEX(Worksheet!$B44:$Q44,MATCH(Worksheet!$E$4,Worksheet!$B$34:$Q$34)))))</f>
        <v>3.7999999999999999E-2</v>
      </c>
      <c r="G64" s="4">
        <f>IF($E$5=0,"",IF(Request!$U$34&lt;&gt;"Yes",Worksheet!$C64,IF($E$7=0,F64,(INDEX(Worksheet!$C44:$R44,MATCH(Worksheet!$E$4,Worksheet!$C$33:$R$33))))))</f>
        <v>3.9E-2</v>
      </c>
      <c r="H64" s="4">
        <f>IF($F$5=0,"",IF(Request!$U$34&lt;&gt;"Yes",Worksheet!$B64,(INDEX(Worksheet!$B44:$Q44,MATCH(Worksheet!$F$4,Worksheet!$B$34:$Q$34)))))</f>
        <v>3.9E-2</v>
      </c>
      <c r="I64" s="4">
        <f>IF($F$5=0,"",IF(Request!$U$34&lt;&gt;"Yes",Worksheet!$C64,IF($F$7=0,H64,(INDEX(Worksheet!$C44:$R44,MATCH(Worksheet!$F$4,Worksheet!$C$33:$R$33))))))</f>
        <v>0.04</v>
      </c>
      <c r="J64" s="4">
        <f>IF($G$5=0,"",IF(Request!$U$34&lt;&gt;"Yes",Worksheet!$B64,(INDEX(Worksheet!$B44:$Q44,MATCH(Worksheet!$G$4,Worksheet!$B$34:$Q$34)))))</f>
        <v>0.04</v>
      </c>
      <c r="K64" s="4">
        <f>IF($G$5=0,"",IF(Request!$U$34&lt;&gt;"Yes",Worksheet!$C64,IF($G$7=0,J64,(INDEX(Worksheet!$C44:$R44,MATCH(Worksheet!$G$4,Worksheet!$C$33:$R$33))))))</f>
        <v>4.1000000000000002E-2</v>
      </c>
    </row>
    <row r="65" spans="1:11" x14ac:dyDescent="0.2">
      <c r="A65" s="4" t="s">
        <v>269</v>
      </c>
      <c r="B65" s="4">
        <f>INDEX(Worksheet!$B45:$Q45,MATCH(Worksheet!$C$4,Worksheet!$B$34:$Q$34))</f>
        <v>0.10299999999999999</v>
      </c>
      <c r="C65" s="4">
        <f>IF($C$7=0,B65,(INDEX(Worksheet!$C45:$R45,MATCH(Worksheet!$C$4,Worksheet!$C$33:$R$33))))</f>
        <v>0.106</v>
      </c>
      <c r="D65" s="4">
        <f>IF($D$5=0,"",IF(Request!$U$34&lt;&gt;"Yes",Worksheet!$B65,(INDEX(Worksheet!$B45:$Q45,MATCH(Worksheet!$D$4,Worksheet!$B$34:$Q$34)))))</f>
        <v>0.106</v>
      </c>
      <c r="E65" s="4">
        <f>IF(Request!$U$34&lt;&gt;"Yes",Worksheet!$C65,IF($D$7=0,D65,(INDEX(Worksheet!$C45:$R45,MATCH(Worksheet!$D$4,Worksheet!$C$33:$R$33)))))</f>
        <v>0.109</v>
      </c>
      <c r="F65" s="4">
        <f>IF($E$5=0,"",IF(Request!$U$34&lt;&gt;"Yes",Worksheet!$B65,(INDEX(Worksheet!$B45:$Q45,MATCH(Worksheet!$E$4,Worksheet!$B$34:$Q$34)))))</f>
        <v>0.109</v>
      </c>
      <c r="G65" s="4">
        <f>IF($E$5=0,"",IF(Request!$U$34&lt;&gt;"Yes",Worksheet!$C65,IF($E$7=0,F65,(INDEX(Worksheet!$C45:$R45,MATCH(Worksheet!$E$4,Worksheet!$C$33:$R$33))))))</f>
        <v>0.112</v>
      </c>
      <c r="H65" s="4">
        <f>IF($F$5=0,"",IF(Request!$U$34&lt;&gt;"Yes",Worksheet!$B65,(INDEX(Worksheet!$B45:$Q45,MATCH(Worksheet!$F$4,Worksheet!$B$34:$Q$34)))))</f>
        <v>0.112</v>
      </c>
      <c r="I65" s="4">
        <f>IF($F$5=0,"",IF(Request!$U$34&lt;&gt;"Yes",Worksheet!$C65,IF($F$7=0,H65,(INDEX(Worksheet!$C45:$R45,MATCH(Worksheet!$F$4,Worksheet!$C$33:$R$33))))))</f>
        <v>0.115</v>
      </c>
      <c r="J65" s="4">
        <f>IF($G$5=0,"",IF(Request!$U$34&lt;&gt;"Yes",Worksheet!$B65,(INDEX(Worksheet!$B45:$Q45,MATCH(Worksheet!$G$4,Worksheet!$B$34:$Q$34)))))</f>
        <v>0.115</v>
      </c>
      <c r="K65" s="4">
        <f>IF($G$5=0,"",IF(Request!$U$34&lt;&gt;"Yes",Worksheet!$C65,IF($G$7=0,J65,(INDEX(Worksheet!$C45:$R45,MATCH(Worksheet!$G$4,Worksheet!$C$33:$R$33))))))</f>
        <v>0.11799999999999999</v>
      </c>
    </row>
    <row r="66" spans="1:11" x14ac:dyDescent="0.2">
      <c r="A66" s="4" t="s">
        <v>247</v>
      </c>
      <c r="B66" s="4">
        <f>INDEX(Worksheet!$B46:$Q46,MATCH(Worksheet!$C$4,Worksheet!$B$34:$Q$34))</f>
        <v>0.432</v>
      </c>
      <c r="C66" s="4">
        <f>IF($C$7=0,B66,(INDEX(Worksheet!$C46:$R46,MATCH(Worksheet!$C$4,Worksheet!$C$33:$R$33))))</f>
        <v>0.44500000000000001</v>
      </c>
      <c r="D66" s="4">
        <f>IF($D$5=0,"",IF(Request!$U$34&lt;&gt;"Yes",Worksheet!$B66,(INDEX(Worksheet!$B46:$Q46,MATCH(Worksheet!$D$4,Worksheet!$B$34:$Q$34)))))</f>
        <v>0.44500000000000001</v>
      </c>
      <c r="E66" s="4">
        <f>IF(Request!$U$34&lt;&gt;"Yes",Worksheet!$C66,IF($D$7=0,D66,(INDEX(Worksheet!$C46:$R46,MATCH(Worksheet!$D$4,Worksheet!$C$33:$R$33)))))</f>
        <v>0.45800000000000002</v>
      </c>
      <c r="F66" s="4">
        <f>IF($E$5=0,"",IF(Request!$U$34&lt;&gt;"Yes",Worksheet!$B66,(INDEX(Worksheet!$B46:$Q46,MATCH(Worksheet!$E$4,Worksheet!$B$34:$Q$34)))))</f>
        <v>0.45800000000000002</v>
      </c>
      <c r="G66" s="4">
        <f>IF($E$5=0,"",IF(Request!$U$34&lt;&gt;"Yes",Worksheet!$C66,IF($E$7=0,F66,(INDEX(Worksheet!$C46:$R46,MATCH(Worksheet!$E$4,Worksheet!$C$33:$R$33))))))</f>
        <v>0.47199999999999998</v>
      </c>
      <c r="H66" s="4">
        <f>IF($F$5=0,"",IF(Request!$U$34&lt;&gt;"Yes",Worksheet!$B66,(INDEX(Worksheet!$B46:$Q46,MATCH(Worksheet!$F$4,Worksheet!$B$34:$Q$34)))))</f>
        <v>0.47199999999999998</v>
      </c>
      <c r="I66" s="4">
        <f>IF($F$5=0,"",IF(Request!$U$34&lt;&gt;"Yes",Worksheet!$C66,IF($F$7=0,H66,(INDEX(Worksheet!$C46:$R46,MATCH(Worksheet!$F$4,Worksheet!$C$33:$R$33))))))</f>
        <v>0.48599999999999999</v>
      </c>
      <c r="J66" s="4">
        <f>IF($G$5=0,"",IF(Request!$U$34&lt;&gt;"Yes",Worksheet!$B66,(INDEX(Worksheet!$B46:$Q46,MATCH(Worksheet!$G$4,Worksheet!$B$34:$Q$34)))))</f>
        <v>0.48599999999999999</v>
      </c>
      <c r="K66" s="4">
        <f>IF($G$5=0,"",IF(Request!$U$34&lt;&gt;"Yes",Worksheet!$C66,IF($G$7=0,J66,(INDEX(Worksheet!$C46:$R46,MATCH(Worksheet!$G$4,Worksheet!$C$33:$R$33))))))</f>
        <v>0.501</v>
      </c>
    </row>
    <row r="67" spans="1:11" x14ac:dyDescent="0.2">
      <c r="A67" s="4" t="s">
        <v>248</v>
      </c>
      <c r="B67" s="4">
        <f>INDEX(Worksheet!$B47:$Q47,MATCH(Worksheet!$C$4,Worksheet!$B$34:$Q$34))</f>
        <v>0.54300000000000004</v>
      </c>
      <c r="C67" s="4">
        <f>IF($C$7=0,B67,(INDEX(Worksheet!$C47:$R47,MATCH(Worksheet!$C$4,Worksheet!$C$33:$R$33))))</f>
        <v>0.55900000000000005</v>
      </c>
      <c r="D67" s="4">
        <f>IF($D$5=0,"",IF(Request!$U$34&lt;&gt;"Yes",Worksheet!$B67,(INDEX(Worksheet!$B47:$Q47,MATCH(Worksheet!$D$4,Worksheet!$B$34:$Q$34)))))</f>
        <v>0.55900000000000005</v>
      </c>
      <c r="E67" s="4">
        <f>IF(Request!$U$34&lt;&gt;"Yes",Worksheet!$C67,IF($D$7=0,D67,(INDEX(Worksheet!$C47:$R47,MATCH(Worksheet!$D$4,Worksheet!$C$33:$R$33)))))</f>
        <v>0.57599999999999996</v>
      </c>
      <c r="F67" s="4">
        <f>IF($E$5=0,"",IF(Request!$U$34&lt;&gt;"Yes",Worksheet!$B67,(INDEX(Worksheet!$B47:$Q47,MATCH(Worksheet!$E$4,Worksheet!$B$34:$Q$34)))))</f>
        <v>0.57599999999999996</v>
      </c>
      <c r="G67" s="4">
        <f>IF($E$5=0,"",IF(Request!$U$34&lt;&gt;"Yes",Worksheet!$C67,IF($E$7=0,F67,(INDEX(Worksheet!$C47:$R47,MATCH(Worksheet!$E$4,Worksheet!$C$33:$R$33))))))</f>
        <v>0.59299999999999997</v>
      </c>
      <c r="H67" s="4">
        <f>IF($F$5=0,"",IF(Request!$U$34&lt;&gt;"Yes",Worksheet!$B67,(INDEX(Worksheet!$B47:$Q47,MATCH(Worksheet!$F$4,Worksheet!$B$34:$Q$34)))))</f>
        <v>0.59299999999999997</v>
      </c>
      <c r="I67" s="4">
        <f>IF($F$5=0,"",IF(Request!$U$34&lt;&gt;"Yes",Worksheet!$C67,IF($F$7=0,H67,(INDEX(Worksheet!$C47:$R47,MATCH(Worksheet!$F$4,Worksheet!$C$33:$R$33))))))</f>
        <v>0.61099999999999999</v>
      </c>
      <c r="J67" s="4">
        <f>IF($G$5=0,"",IF(Request!$U$34&lt;&gt;"Yes",Worksheet!$B67,(INDEX(Worksheet!$B47:$Q47,MATCH(Worksheet!$G$4,Worksheet!$B$34:$Q$34)))))</f>
        <v>0.61099999999999999</v>
      </c>
      <c r="K67" s="4">
        <f>IF($G$5=0,"",IF(Request!$U$34&lt;&gt;"Yes",Worksheet!$C67,IF($G$7=0,J67,(INDEX(Worksheet!$C47:$R47,MATCH(Worksheet!$G$4,Worksheet!$C$33:$R$33))))))</f>
        <v>0.629</v>
      </c>
    </row>
    <row r="68" spans="1:11" x14ac:dyDescent="0.2">
      <c r="A68" s="4" t="s">
        <v>249</v>
      </c>
      <c r="B68" s="4">
        <f>INDEX(Worksheet!$B48:$Q48,MATCH(Worksheet!$C$4,Worksheet!$B$34:$Q$34))</f>
        <v>0.65400000000000003</v>
      </c>
      <c r="C68" s="4">
        <f>IF($C$7=0,B68,(INDEX(Worksheet!$C48:$R48,MATCH(Worksheet!$C$4,Worksheet!$C$33:$R$33))))</f>
        <v>0.67400000000000004</v>
      </c>
      <c r="D68" s="4">
        <f>IF($D$5=0,"",IF(Request!$U$34&lt;&gt;"Yes",Worksheet!$B68,(INDEX(Worksheet!$B48:$Q48,MATCH(Worksheet!$D$4,Worksheet!$B$34:$Q$34)))))</f>
        <v>0.67400000000000004</v>
      </c>
      <c r="E68" s="4">
        <f>IF(Request!$U$34&lt;&gt;"Yes",Worksheet!$C68,IF($D$7=0,D68,(INDEX(Worksheet!$C48:$R48,MATCH(Worksheet!$D$4,Worksheet!$C$33:$R$33)))))</f>
        <v>0.69399999999999995</v>
      </c>
      <c r="F68" s="4">
        <f>IF($E$5=0,"",IF(Request!$U$34&lt;&gt;"Yes",Worksheet!$B68,(INDEX(Worksheet!$B48:$Q48,MATCH(Worksheet!$E$4,Worksheet!$B$34:$Q$34)))))</f>
        <v>0.69399999999999995</v>
      </c>
      <c r="G68" s="4">
        <f>IF($E$5=0,"",IF(Request!$U$34&lt;&gt;"Yes",Worksheet!$C68,IF($E$7=0,F68,(INDEX(Worksheet!$C48:$R48,MATCH(Worksheet!$E$4,Worksheet!$C$33:$R$33))))))</f>
        <v>0.71499999999999997</v>
      </c>
      <c r="H68" s="4">
        <f>IF($F$5=0,"",IF(Request!$U$34&lt;&gt;"Yes",Worksheet!$B68,(INDEX(Worksheet!$B48:$Q48,MATCH(Worksheet!$F$4,Worksheet!$B$34:$Q$34)))))</f>
        <v>0.71499999999999997</v>
      </c>
      <c r="I68" s="4">
        <f>IF($F$5=0,"",IF(Request!$U$34&lt;&gt;"Yes",Worksheet!$C68,IF($F$7=0,H68,(INDEX(Worksheet!$C48:$R48,MATCH(Worksheet!$F$4,Worksheet!$C$33:$R$33))))))</f>
        <v>0.73599999999999999</v>
      </c>
      <c r="J68" s="4">
        <f>IF($G$5=0,"",IF(Request!$U$34&lt;&gt;"Yes",Worksheet!$B68,(INDEX(Worksheet!$B48:$Q48,MATCH(Worksheet!$G$4,Worksheet!$B$34:$Q$34)))))</f>
        <v>0.73599999999999999</v>
      </c>
      <c r="K68" s="4">
        <f>IF($G$5=0,"",IF(Request!$U$34&lt;&gt;"Yes",Worksheet!$C68,IF($G$7=0,J68,(INDEX(Worksheet!$C48:$R48,MATCH(Worksheet!$G$4,Worksheet!$C$33:$R$33))))))</f>
        <v>0.75800000000000001</v>
      </c>
    </row>
    <row r="69" spans="1:11" x14ac:dyDescent="0.2">
      <c r="A69" s="4" t="s">
        <v>250</v>
      </c>
      <c r="B69" s="4">
        <f>INDEX(Worksheet!$B49:$Q49,MATCH(Worksheet!$C$4,Worksheet!$B$34:$Q$34))</f>
        <v>0.29199999999999998</v>
      </c>
      <c r="C69" s="4">
        <f>IF($C$7=0,B69,(INDEX(Worksheet!$C49:$R49,MATCH(Worksheet!$C$4,Worksheet!$C$33:$R$33))))</f>
        <v>0.30099999999999999</v>
      </c>
      <c r="D69" s="4">
        <f>IF($D$5=0,"",IF(Request!$U$34&lt;&gt;"Yes",Worksheet!$B69,(INDEX(Worksheet!$B49:$Q49,MATCH(Worksheet!$D$4,Worksheet!$B$34:$Q$34)))))</f>
        <v>0.30099999999999999</v>
      </c>
      <c r="E69" s="4">
        <f>IF(Request!$U$34&lt;&gt;"Yes",Worksheet!$C69,IF($D$7=0,D69,(INDEX(Worksheet!$C49:$R49,MATCH(Worksheet!$D$4,Worksheet!$C$33:$R$33)))))</f>
        <v>0.31</v>
      </c>
      <c r="F69" s="4">
        <f>IF($E$5=0,"",IF(Request!$U$34&lt;&gt;"Yes",Worksheet!$B69,(INDEX(Worksheet!$B49:$Q49,MATCH(Worksheet!$E$4,Worksheet!$B$34:$Q$34)))))</f>
        <v>0.31</v>
      </c>
      <c r="G69" s="4">
        <f>IF($E$5=0,"",IF(Request!$U$34&lt;&gt;"Yes",Worksheet!$C69,IF($E$7=0,F69,(INDEX(Worksheet!$C49:$R49,MATCH(Worksheet!$E$4,Worksheet!$C$33:$R$33))))))</f>
        <v>0.31900000000000001</v>
      </c>
      <c r="H69" s="4">
        <f>IF($F$5=0,"",IF(Request!$U$34&lt;&gt;"Yes",Worksheet!$B69,(INDEX(Worksheet!$B49:$Q49,MATCH(Worksheet!$F$4,Worksheet!$B$34:$Q$34)))))</f>
        <v>0.31900000000000001</v>
      </c>
      <c r="I69" s="4">
        <f>IF($F$5=0,"",IF(Request!$U$34&lt;&gt;"Yes",Worksheet!$C69,IF($F$7=0,H69,(INDEX(Worksheet!$C49:$R49,MATCH(Worksheet!$F$4,Worksheet!$C$33:$R$33))))))</f>
        <v>0.32900000000000001</v>
      </c>
      <c r="J69" s="4">
        <f>IF($G$5=0,"",IF(Request!$U$34&lt;&gt;"Yes",Worksheet!$B69,(INDEX(Worksheet!$B49:$Q49,MATCH(Worksheet!$G$4,Worksheet!$B$34:$Q$34)))))</f>
        <v>0.32900000000000001</v>
      </c>
      <c r="K69" s="4">
        <f>IF($G$5=0,"",IF(Request!$U$34&lt;&gt;"Yes",Worksheet!$C69,IF($G$7=0,J69,(INDEX(Worksheet!$C49:$R49,MATCH(Worksheet!$G$4,Worksheet!$C$33:$R$33))))))</f>
        <v>0.33900000000000002</v>
      </c>
    </row>
    <row r="70" spans="1:11" x14ac:dyDescent="0.2">
      <c r="A70" s="219" t="s">
        <v>251</v>
      </c>
      <c r="B70" s="4">
        <f>INDEX(Worksheet!$B50:$Q50,MATCH(Worksheet!$C$4,Worksheet!$B$34:$Q$34))</f>
        <v>2.1000000000000001E-2</v>
      </c>
      <c r="C70" s="4">
        <f>IF($C$7=0,B70,(INDEX(Worksheet!$C50:$R50,MATCH(Worksheet!$C$4,Worksheet!$C$33:$R$33))))</f>
        <v>2.1999999999999999E-2</v>
      </c>
      <c r="D70" s="4">
        <f>IF($D$5=0,"",IF(Request!$U$34&lt;&gt;"Yes",Worksheet!$B70,(INDEX(Worksheet!$B50:$Q50,MATCH(Worksheet!$D$4,Worksheet!$B$34:$Q$34)))))</f>
        <v>2.1999999999999999E-2</v>
      </c>
      <c r="E70" s="4">
        <f>IF(Request!$U$34&lt;&gt;"Yes",Worksheet!$C70,IF($D$7=0,D70,(INDEX(Worksheet!$C50:$R50,MATCH(Worksheet!$D$4,Worksheet!$C$33:$R$33)))))</f>
        <v>2.3E-2</v>
      </c>
      <c r="F70" s="4">
        <f>IF($E$5=0,"",IF(Request!$U$34&lt;&gt;"Yes",Worksheet!$B70,(INDEX(Worksheet!$B50:$Q50,MATCH(Worksheet!$E$4,Worksheet!$B$34:$Q$34)))))</f>
        <v>2.3E-2</v>
      </c>
      <c r="G70" s="4">
        <f>IF($E$5=0,"",IF(Request!$U$34&lt;&gt;"Yes",Worksheet!$C70,IF($E$7=0,F70,(INDEX(Worksheet!$C50:$R50,MATCH(Worksheet!$E$4,Worksheet!$C$33:$R$33))))))</f>
        <v>2.4E-2</v>
      </c>
      <c r="H70" s="4">
        <f>IF($F$5=0,"",IF(Request!$U$34&lt;&gt;"Yes",Worksheet!$B70,(INDEX(Worksheet!$B50:$Q50,MATCH(Worksheet!$F$4,Worksheet!$B$34:$Q$34)))))</f>
        <v>2.4E-2</v>
      </c>
      <c r="I70" s="4">
        <f>IF($F$5=0,"",IF(Request!$U$34&lt;&gt;"Yes",Worksheet!$C70,IF($F$7=0,H70,(INDEX(Worksheet!$C50:$R50,MATCH(Worksheet!$F$4,Worksheet!$C$33:$R$33))))))</f>
        <v>2.5000000000000001E-2</v>
      </c>
      <c r="J70" s="4">
        <f>IF($G$5=0,"",IF(Request!$U$34&lt;&gt;"Yes",Worksheet!$B70,(INDEX(Worksheet!$B50:$Q50,MATCH(Worksheet!$G$4,Worksheet!$B$34:$Q$34)))))</f>
        <v>2.5000000000000001E-2</v>
      </c>
      <c r="K70" s="4">
        <f>IF($G$5=0,"",IF(Request!$U$34&lt;&gt;"Yes",Worksheet!$C70,IF($G$7=0,J70,(INDEX(Worksheet!$C50:$R50,MATCH(Worksheet!$G$4,Worksheet!$C$33:$R$33))))))</f>
        <v>2.5999999999999999E-2</v>
      </c>
    </row>
    <row r="71" spans="1:11" x14ac:dyDescent="0.2">
      <c r="A71" s="219" t="s">
        <v>252</v>
      </c>
      <c r="B71" s="4">
        <f>INDEX(Worksheet!$B51:$Q51,MATCH(Worksheet!$C$4,Worksheet!$B$34:$Q$34))</f>
        <v>6.4000000000000001E-2</v>
      </c>
      <c r="C71" s="4">
        <f>IF($C$7=0,B71,(INDEX(Worksheet!$C51:$R51,MATCH(Worksheet!$C$4,Worksheet!$C$33:$R$33))))</f>
        <v>6.6000000000000003E-2</v>
      </c>
      <c r="D71" s="4">
        <f>IF($D$5=0,"",IF(Request!$U$34&lt;&gt;"Yes",Worksheet!$B71,(INDEX(Worksheet!$B51:$Q51,MATCH(Worksheet!$D$4,Worksheet!$B$34:$Q$34)))))</f>
        <v>6.6000000000000003E-2</v>
      </c>
      <c r="E71" s="4">
        <f>IF(Request!$U$34&lt;&gt;"Yes",Worksheet!$C71,IF($D$7=0,D71,(INDEX(Worksheet!$C51:$R51,MATCH(Worksheet!$D$4,Worksheet!$C$33:$R$33)))))</f>
        <v>6.8000000000000005E-2</v>
      </c>
      <c r="F71" s="4">
        <f>IF($E$5=0,"",IF(Request!$U$34&lt;&gt;"Yes",Worksheet!$B71,(INDEX(Worksheet!$B51:$Q51,MATCH(Worksheet!$E$4,Worksheet!$B$34:$Q$34)))))</f>
        <v>6.8000000000000005E-2</v>
      </c>
      <c r="G71" s="4">
        <f>IF($E$5=0,"",IF(Request!$U$34&lt;&gt;"Yes",Worksheet!$C71,IF($E$7=0,F71,(INDEX(Worksheet!$C51:$R51,MATCH(Worksheet!$E$4,Worksheet!$C$33:$R$33))))))</f>
        <v>7.0000000000000007E-2</v>
      </c>
      <c r="H71" s="4">
        <f>IF($F$5=0,"",IF(Request!$U$34&lt;&gt;"Yes",Worksheet!$B71,(INDEX(Worksheet!$B51:$Q51,MATCH(Worksheet!$F$4,Worksheet!$B$34:$Q$34)))))</f>
        <v>7.0000000000000007E-2</v>
      </c>
      <c r="I71" s="4">
        <f>IF($F$5=0,"",IF(Request!$U$34&lt;&gt;"Yes",Worksheet!$C71,IF($F$7=0,H71,(INDEX(Worksheet!$C51:$R51,MATCH(Worksheet!$F$4,Worksheet!$C$33:$R$33))))))</f>
        <v>7.1999999999999995E-2</v>
      </c>
      <c r="J71" s="4">
        <f>IF($G$5=0,"",IF(Request!$U$34&lt;&gt;"Yes",Worksheet!$B71,(INDEX(Worksheet!$B51:$Q51,MATCH(Worksheet!$G$4,Worksheet!$B$34:$Q$34)))))</f>
        <v>7.1999999999999995E-2</v>
      </c>
      <c r="K71" s="4">
        <f>IF($G$5=0,"",IF(Request!$U$34&lt;&gt;"Yes",Worksheet!$C71,IF($G$7=0,J71,(INDEX(Worksheet!$C51:$R51,MATCH(Worksheet!$G$4,Worksheet!$C$33:$R$33))))))</f>
        <v>7.3999999999999996E-2</v>
      </c>
    </row>
    <row r="72" spans="1:11" x14ac:dyDescent="0.2"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1:11" x14ac:dyDescent="0.2"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1:11" x14ac:dyDescent="0.2">
      <c r="A74" s="4" t="s">
        <v>41</v>
      </c>
      <c r="B74" s="17"/>
      <c r="C74" s="17"/>
      <c r="D74" s="17"/>
      <c r="E74" s="17"/>
      <c r="F74" s="17"/>
    </row>
    <row r="75" spans="1:11" x14ac:dyDescent="0.2">
      <c r="A75" s="4" t="s">
        <v>41</v>
      </c>
      <c r="B75" s="11" t="s">
        <v>7</v>
      </c>
      <c r="C75" s="11" t="s">
        <v>8</v>
      </c>
      <c r="D75" s="11" t="s">
        <v>9</v>
      </c>
      <c r="E75" s="11" t="s">
        <v>18</v>
      </c>
      <c r="F75" s="11" t="s">
        <v>10</v>
      </c>
    </row>
    <row r="76" spans="1:11" x14ac:dyDescent="0.2">
      <c r="A76" s="4" t="s">
        <v>259</v>
      </c>
      <c r="B76" s="299" t="str">
        <f t="shared" ref="B76:B86" si="3">IF(B55&lt;&gt;C55,(B55*100)&amp;"/"&amp;C55*100,B55*100)</f>
        <v>25.5/26.3</v>
      </c>
      <c r="C76" s="299" t="str">
        <f>IF(D3="","",(IF(D55&lt;&gt;E55,(D55*100)&amp;"/"&amp;E55*100,D55*100)))</f>
        <v>26.3/27.1</v>
      </c>
      <c r="D76" s="299" t="str">
        <f>IF(E3="","",(IF(F55&lt;&gt;G55,(F55*100)&amp;"/"&amp;G55*100,F55*100)))</f>
        <v>27.1/27.9</v>
      </c>
      <c r="E76" s="299" t="str">
        <f>IF(F3="","",(IF(H55&lt;&gt;I55,(H55*100)&amp;"/"&amp;I55*100,H55*100)))</f>
        <v>27.9/28.7</v>
      </c>
      <c r="F76" s="299" t="str">
        <f>IF(G3="","",(IF(J55&lt;&gt;K55,(J55*100)&amp;"/"&amp;K55*100,J55*100)))</f>
        <v>28.7/29.6</v>
      </c>
    </row>
    <row r="77" spans="1:11" x14ac:dyDescent="0.2">
      <c r="A77" s="294" t="s">
        <v>260</v>
      </c>
      <c r="B77" s="17" t="str">
        <f t="shared" si="3"/>
        <v>25.5/26.3</v>
      </c>
      <c r="C77" s="17" t="str">
        <f>IF(D4="","",(IF(D56&lt;&gt;E56,(D56*100)&amp;"/"&amp;E56*100,D56*100)))</f>
        <v>26.3/27.1</v>
      </c>
      <c r="D77" s="17" t="str">
        <f>IF(E4="","",(IF(F56&lt;&gt;G56,(F56*100)&amp;"/"&amp;G56*100,F56*100)))</f>
        <v>27.1/27.9</v>
      </c>
      <c r="E77" s="17" t="str">
        <f>IF(F4="","",(IF(H56&lt;&gt;I56,(H56*100)&amp;"/"&amp;I56*100,H56*100)))</f>
        <v>27.9/28.7</v>
      </c>
      <c r="F77" s="17" t="str">
        <f>IF(G4="","",(IF(J56&lt;&gt;K56,(J56*100)&amp;"/"&amp;K56*100,J56*100)))</f>
        <v>28.7/29.6</v>
      </c>
    </row>
    <row r="78" spans="1:11" x14ac:dyDescent="0.2">
      <c r="A78" s="4" t="s">
        <v>261</v>
      </c>
      <c r="B78" s="288" t="str">
        <f t="shared" si="3"/>
        <v>34.1/35.1</v>
      </c>
      <c r="C78" s="17" t="str">
        <f>IF(D4="","",(IF(D57&lt;&gt;E57,(D57*100)&amp;"/"&amp;E57*100,D57*100)))</f>
        <v>35.1/36.2</v>
      </c>
      <c r="D78" s="17" t="str">
        <f>IF(E4="","",(IF(F57&lt;&gt;G57,(F57*100)&amp;"/"&amp;G57*100,F57*100)))</f>
        <v>36.2/37.3</v>
      </c>
      <c r="E78" s="17" t="str">
        <f>IF(F4="","",(IF(H57&lt;&gt;I57,(H57*100)&amp;"/"&amp;I57*100,H57*100)))</f>
        <v>37.3/38.4</v>
      </c>
      <c r="F78" s="17" t="str">
        <f>IF(G4="","",(IF(J57&lt;&gt;K57,(J57*100)&amp;"/"&amp;K57*100,J57*100)))</f>
        <v>38.4/39.6</v>
      </c>
    </row>
    <row r="79" spans="1:11" x14ac:dyDescent="0.2">
      <c r="A79" s="4" t="s">
        <v>262</v>
      </c>
      <c r="B79" s="288" t="str">
        <f t="shared" si="3"/>
        <v>38.4/39.6</v>
      </c>
      <c r="C79" s="17" t="str">
        <f>IF(D4="","",(IF(D58&lt;&gt;E58,(D58*100)&amp;"/"&amp;E58*100,D58*100)))</f>
        <v>39.6/40.8</v>
      </c>
      <c r="D79" s="17" t="str">
        <f>IF(E4="","",(IF(F58&lt;&gt;G58,(F58*100)&amp;"/"&amp;G58*100,F58*100)))</f>
        <v>40.8/42</v>
      </c>
      <c r="E79" s="17" t="str">
        <f>IF(F4="","",(IF(H58&lt;&gt;I58,(H58*100)&amp;"/"&amp;I58*100,H58*100)))</f>
        <v>42/43.3</v>
      </c>
      <c r="F79" s="17" t="str">
        <f>IF(G4="","",(IF(J58&lt;&gt;K58,(J58*100)&amp;"/"&amp;K58*100,J58*100)))</f>
        <v>43.3/44.6</v>
      </c>
    </row>
    <row r="80" spans="1:11" x14ac:dyDescent="0.2">
      <c r="A80" s="4" t="s">
        <v>263</v>
      </c>
      <c r="B80" s="288" t="str">
        <f t="shared" si="3"/>
        <v>53.1/54.7</v>
      </c>
      <c r="C80" s="17" t="str">
        <f>IF(D4="","",(IF(D59&lt;&gt;E59,(D59*100)&amp;"/"&amp;E59*100,D59*100)))</f>
        <v>54.7/56.3</v>
      </c>
      <c r="D80" s="17" t="str">
        <f>IF(E4="","",(IF(F59&lt;&gt;G59,(F59*100)&amp;"/"&amp;G59*100,F59*100)))</f>
        <v>56.3/58</v>
      </c>
      <c r="E80" s="17" t="str">
        <f>IF(F4="","",(IF(H59&lt;&gt;I59,(H59*100)&amp;"/"&amp;I59*100,H59*100)))</f>
        <v>58/59.7</v>
      </c>
      <c r="F80" s="17" t="str">
        <f>IF(G4="","",(IF(J59&lt;&gt;K59,(J59*100)&amp;"/"&amp;K59*100,J59*100)))</f>
        <v>59.7/61.5</v>
      </c>
    </row>
    <row r="81" spans="1:6" x14ac:dyDescent="0.2">
      <c r="A81" s="4" t="s">
        <v>264</v>
      </c>
      <c r="B81" s="288" t="str">
        <f t="shared" si="3"/>
        <v>66.1/68.1</v>
      </c>
      <c r="C81" s="17" t="str">
        <f>IF(D4="","",(IF(D60&lt;&gt;E60,(D60*100)&amp;"/"&amp;E60*100,D60*100)))</f>
        <v>68.1/70.1</v>
      </c>
      <c r="D81" s="17" t="str">
        <f>IF(E4="","",(IF(F60&lt;&gt;G60,(F60*100)&amp;"/"&amp;G60*100,F60*100)))</f>
        <v>70.1/72.2</v>
      </c>
      <c r="E81" s="17" t="str">
        <f>IF(F4="","",(IF(H60&lt;&gt;I60,(H60*100)&amp;"/"&amp;I60*100,H60*100)))</f>
        <v>72.2/74.4</v>
      </c>
      <c r="F81" s="17" t="str">
        <f>IF(G4="","",(IF(J60&lt;&gt;K60,(J60*100)&amp;"/"&amp;K60*100,J60*100)))</f>
        <v>74.4/76.6</v>
      </c>
    </row>
    <row r="82" spans="1:6" x14ac:dyDescent="0.2">
      <c r="A82" s="4" t="s">
        <v>265</v>
      </c>
      <c r="B82" s="288" t="str">
        <f t="shared" si="3"/>
        <v>26.3/27.1</v>
      </c>
      <c r="C82" s="17" t="str">
        <f>IF(D4="","",(IF(D4="","",(IF(D61&lt;&gt;E61,(D61*100)&amp;"/"&amp;E61*100,D61*100)))))</f>
        <v>27.1/27.9</v>
      </c>
      <c r="D82" s="17" t="str">
        <f>IF(E4="","",(IF(F61&lt;&gt;G61,(F61*100)&amp;"/"&amp;G61*100,F61*100)))</f>
        <v>27.9/28.7</v>
      </c>
      <c r="E82" s="17" t="str">
        <f>IF(F4="","",(IF(H61&lt;&gt;I61,(H61*100)&amp;"/"&amp;I61*100,H61*100)))</f>
        <v>28.7/29.6</v>
      </c>
      <c r="F82" s="17" t="str">
        <f>IF(G4="","",(IF(J61&lt;&gt;K61,(J61*100)&amp;"/"&amp;K61*100,J61*100)))</f>
        <v>29.6/30.5</v>
      </c>
    </row>
    <row r="83" spans="1:6" x14ac:dyDescent="0.2">
      <c r="A83" s="4" t="s">
        <v>266</v>
      </c>
      <c r="B83" s="288" t="str">
        <f t="shared" si="3"/>
        <v>1.9/2</v>
      </c>
      <c r="C83" s="17" t="str">
        <f>IF(D4="","",(IF(D62&lt;&gt;E62,(D62*100)&amp;"/"&amp;E62*100,D62*100)))</f>
        <v>2/2.1</v>
      </c>
      <c r="D83" s="17" t="str">
        <f>IF(E4="","",(IF(F62&lt;&gt;G62,(F62*100)&amp;"/"&amp;G62*100,F62*100)))</f>
        <v>2.1/2.2</v>
      </c>
      <c r="E83" s="17" t="str">
        <f>IF(F4="","",(IF(H62&lt;&gt;I62,(H62*100)&amp;"/"&amp;I62*100,H62*100)))</f>
        <v>2.2/2.3</v>
      </c>
      <c r="F83" s="17" t="str">
        <f>IF(G4="","",(IF(J62&lt;&gt;K62,(J62*100)&amp;"/"&amp;K62*100,J62*100)))</f>
        <v>2.3/2.4</v>
      </c>
    </row>
    <row r="84" spans="1:6" x14ac:dyDescent="0.2">
      <c r="A84" s="4" t="s">
        <v>268</v>
      </c>
      <c r="B84" s="288" t="str">
        <f t="shared" si="3"/>
        <v>17.4/17.9</v>
      </c>
      <c r="C84" s="17" t="str">
        <f>IF(D4="","",(IF(D63&lt;&gt;E63,(D63*100)&amp;"/"&amp;E63*100,D63*100)))</f>
        <v>17.9/18.4</v>
      </c>
      <c r="D84" s="17" t="str">
        <f>IF(E4="","",(IF(F63&lt;&gt;G63,(F63*100)&amp;"/"&amp;G63*100,F63*100)))</f>
        <v>18.4/19</v>
      </c>
      <c r="E84" s="17" t="str">
        <f>IF(F4="","",(IF(H63&lt;&gt;I63,(H63*100)&amp;"/"&amp;I63*100,H63*100)))</f>
        <v>19/19.6</v>
      </c>
      <c r="F84" s="17" t="str">
        <f>IF(G4="","",(IF(J63&lt;&gt;K63,(J63*100)&amp;"/"&amp;K63*100,J63*100)))</f>
        <v>19.6/20.2</v>
      </c>
    </row>
    <row r="85" spans="1:6" x14ac:dyDescent="0.2">
      <c r="A85" s="4" t="s">
        <v>267</v>
      </c>
      <c r="B85" s="288" t="str">
        <f t="shared" si="3"/>
        <v>3.6/3.7</v>
      </c>
      <c r="C85" s="17" t="str">
        <f>IF(D4="","",(IF(D64&lt;&gt;E64,(D64*100)&amp;"/"&amp;E64*100,D64*100)))</f>
        <v>3.7/3.8</v>
      </c>
      <c r="D85" s="17" t="str">
        <f>IF(E4="","",(IF(F64&lt;&gt;G64,(F64*100)&amp;"/"&amp;G64*100,F64*100)))</f>
        <v>3.8/3.9</v>
      </c>
      <c r="E85" s="17" t="str">
        <f>IF(F4="","",(IF(H64&lt;&gt;I64,(H64*100)&amp;"/"&amp;I64*100,H64*100)))</f>
        <v>3.9/4</v>
      </c>
      <c r="F85" s="17" t="str">
        <f>IF(G4="","",(IF(J64&lt;&gt;K64,(J64*100)&amp;"/"&amp;K64*100,J64*100)))</f>
        <v>4/4.1</v>
      </c>
    </row>
    <row r="86" spans="1:6" x14ac:dyDescent="0.2">
      <c r="A86" s="4" t="s">
        <v>253</v>
      </c>
      <c r="B86" s="17" t="str">
        <f t="shared" si="3"/>
        <v>10.3/10.6</v>
      </c>
      <c r="C86" s="17" t="str">
        <f>IF(D4="","",(IF(D65&lt;&gt;E65,(D65*100)&amp;"/"&amp;E65*100,D65*100)))</f>
        <v>10.6/10.9</v>
      </c>
      <c r="D86" s="17" t="str">
        <f>IF(E4="","",(IF(F65&lt;&gt;G65,(F65*100)&amp;"/"&amp;G65*100,F65*100)))</f>
        <v>10.9/11.2</v>
      </c>
      <c r="E86" s="17" t="str">
        <f>IF(F4=0,"",(IF(H65&lt;&gt;I65,(H65*100)&amp;"/"&amp;I65*100,H65*100)))</f>
        <v>11.2/11.5</v>
      </c>
      <c r="F86" s="17" t="str">
        <f>IF(G4=0,"",(IF(J65&lt;&gt;K65,(J65*100)&amp;"/"&amp;K65*100,J65*100)))</f>
        <v>11.5/11.8</v>
      </c>
    </row>
    <row r="87" spans="1:6" x14ac:dyDescent="0.2">
      <c r="A87" s="4" t="s">
        <v>254</v>
      </c>
      <c r="B87" s="88">
        <f>IF(C13&lt;=0.5,C65*100,B86)</f>
        <v>10.6</v>
      </c>
      <c r="C87" s="288">
        <f>IF(D13&lt;=0.5,E65*100,C86)</f>
        <v>10.9</v>
      </c>
      <c r="D87" s="288">
        <f>IF(E13&lt;=0.5,G65*100,D86)</f>
        <v>11.200000000000001</v>
      </c>
      <c r="E87" s="288">
        <f>IF(F13&lt;=0.5,I65*100,E86)</f>
        <v>11.5</v>
      </c>
      <c r="F87" s="288">
        <f>IF(G13&lt;=0.5,K65*100,F86)</f>
        <v>11.799999999999999</v>
      </c>
    </row>
    <row r="88" spans="1:6" x14ac:dyDescent="0.2">
      <c r="A88" s="4" t="s">
        <v>255</v>
      </c>
      <c r="B88" s="88">
        <f>IF(C13=1,C65*100,B87)</f>
        <v>10.6</v>
      </c>
      <c r="C88" s="88">
        <f>IF(D13=1,E65*100,C87)</f>
        <v>10.9</v>
      </c>
      <c r="D88" s="288">
        <f>IF(E13=1,G65*100,D87)</f>
        <v>11.200000000000001</v>
      </c>
      <c r="E88" s="288">
        <f>IF(F13=1,I65*100,E87)</f>
        <v>11.5</v>
      </c>
      <c r="F88" s="288">
        <f>IF(G13=1,K65*100,F87)</f>
        <v>11.799999999999999</v>
      </c>
    </row>
    <row r="89" spans="1:6" x14ac:dyDescent="0.2">
      <c r="A89" s="4" t="s">
        <v>247</v>
      </c>
      <c r="B89" s="288" t="str">
        <f t="shared" ref="B89:B94" si="4">IF(B66&lt;&gt;C66,(B66*100)&amp;"/"&amp;C66*100,B66*100)</f>
        <v>43.2/44.5</v>
      </c>
      <c r="C89" s="243" t="str">
        <f t="shared" ref="C89:C94" si="5">IF(D9="","",(IF(D66&lt;&gt;E66,(D66*100)&amp;"/"&amp;E66*100,D66*100)))</f>
        <v>44.5/45.8</v>
      </c>
      <c r="D89" s="243" t="str">
        <f t="shared" ref="D89:D94" si="6">IF(E9="","",(IF(F66&lt;&gt;G66,(F66*100)&amp;"/"&amp;G66*100,F66*100)))</f>
        <v>45.8/47.2</v>
      </c>
      <c r="E89" s="243" t="str">
        <f t="shared" ref="E89:E94" si="7">IF(F9="","",(IF(H66&lt;&gt;I66,(H66*100)&amp;"/"&amp;I66*100,H66*100)))</f>
        <v>47.2/48.6</v>
      </c>
      <c r="F89" s="243" t="str">
        <f t="shared" ref="F89:F94" si="8">IF(G9="","",(IF(J66&lt;&gt;K66,(J66*100)&amp;"/"&amp;K66*100,J66*100)))</f>
        <v>48.6/50.1</v>
      </c>
    </row>
    <row r="90" spans="1:6" x14ac:dyDescent="0.2">
      <c r="A90" s="4" t="s">
        <v>248</v>
      </c>
      <c r="B90" s="288" t="str">
        <f t="shared" si="4"/>
        <v>54.3/55.9</v>
      </c>
      <c r="C90" s="243" t="str">
        <f t="shared" si="5"/>
        <v>55.9/57.6</v>
      </c>
      <c r="D90" s="243" t="str">
        <f t="shared" si="6"/>
        <v>57.6/59.3</v>
      </c>
      <c r="E90" s="243" t="str">
        <f t="shared" si="7"/>
        <v>59.3/61.1</v>
      </c>
      <c r="F90" s="243" t="str">
        <f t="shared" si="8"/>
        <v>61.1/62.9</v>
      </c>
    </row>
    <row r="91" spans="1:6" x14ac:dyDescent="0.2">
      <c r="A91" s="4" t="s">
        <v>249</v>
      </c>
      <c r="B91" s="288" t="str">
        <f t="shared" si="4"/>
        <v>65.4/67.4</v>
      </c>
      <c r="C91" s="243" t="str">
        <f t="shared" si="5"/>
        <v>67.4/69.4</v>
      </c>
      <c r="D91" s="243" t="str">
        <f>IF(E11="","",(IF(F68&lt;&gt;G68,(F68*100)&amp;"/"&amp;G68*100,F68*100)))</f>
        <v>69.4/71.5</v>
      </c>
      <c r="E91" s="243" t="str">
        <f t="shared" si="7"/>
        <v>71.5/73.6</v>
      </c>
      <c r="F91" s="243" t="str">
        <f t="shared" si="8"/>
        <v>73.6/75.8</v>
      </c>
    </row>
    <row r="92" spans="1:6" x14ac:dyDescent="0.2">
      <c r="A92" s="4" t="s">
        <v>250</v>
      </c>
      <c r="B92" s="288" t="str">
        <f t="shared" si="4"/>
        <v>29.2/30.1</v>
      </c>
      <c r="C92" s="243" t="str">
        <f t="shared" si="5"/>
        <v>30.1/31</v>
      </c>
      <c r="D92" s="243" t="str">
        <f t="shared" si="6"/>
        <v>31/31.9</v>
      </c>
      <c r="E92" s="243" t="str">
        <f t="shared" si="7"/>
        <v>31.9/32.9</v>
      </c>
      <c r="F92" s="243" t="str">
        <f t="shared" si="8"/>
        <v>32.9/33.9</v>
      </c>
    </row>
    <row r="93" spans="1:6" x14ac:dyDescent="0.2">
      <c r="A93" s="4" t="s">
        <v>251</v>
      </c>
      <c r="B93" s="288" t="str">
        <f t="shared" si="4"/>
        <v>2.1/2.2</v>
      </c>
      <c r="C93" s="243" t="str">
        <f t="shared" si="5"/>
        <v>2.2/2.3</v>
      </c>
      <c r="D93" s="243" t="str">
        <f t="shared" si="6"/>
        <v>2.3/2.4</v>
      </c>
      <c r="E93" s="243" t="str">
        <f t="shared" si="7"/>
        <v>2.4/2.5</v>
      </c>
      <c r="F93" s="243" t="str">
        <f t="shared" si="8"/>
        <v>2.5/2.6</v>
      </c>
    </row>
    <row r="94" spans="1:6" x14ac:dyDescent="0.2">
      <c r="A94" s="4" t="s">
        <v>252</v>
      </c>
      <c r="B94" s="288" t="str">
        <f t="shared" si="4"/>
        <v>6.4/6.6</v>
      </c>
      <c r="C94" s="243" t="str">
        <f t="shared" si="5"/>
        <v>6.6/6.8</v>
      </c>
      <c r="D94" s="243" t="str">
        <f t="shared" si="6"/>
        <v>6.8/7</v>
      </c>
      <c r="E94" s="243" t="str">
        <f t="shared" si="7"/>
        <v>7/7.2</v>
      </c>
      <c r="F94" s="243" t="str">
        <f t="shared" si="8"/>
        <v>7.2/7.4</v>
      </c>
    </row>
    <row r="96" spans="1:6" x14ac:dyDescent="0.2">
      <c r="A96" s="20"/>
      <c r="B96" s="98"/>
      <c r="C96" s="98"/>
      <c r="D96" s="98"/>
      <c r="E96" s="98"/>
      <c r="F96" s="98"/>
    </row>
    <row r="98" spans="1:17" x14ac:dyDescent="0.2">
      <c r="A98" s="2" t="s">
        <v>67</v>
      </c>
    </row>
    <row r="99" spans="1:17" x14ac:dyDescent="0.2">
      <c r="A99" s="9" t="s">
        <v>76</v>
      </c>
      <c r="B99" s="10" t="s">
        <v>24</v>
      </c>
      <c r="C99" s="10" t="s">
        <v>25</v>
      </c>
      <c r="D99" s="10" t="s">
        <v>34</v>
      </c>
      <c r="E99" s="10" t="s">
        <v>26</v>
      </c>
      <c r="F99" s="10" t="s">
        <v>27</v>
      </c>
      <c r="G99" s="10" t="s">
        <v>28</v>
      </c>
      <c r="H99" s="10" t="s">
        <v>29</v>
      </c>
      <c r="I99" s="10" t="s">
        <v>30</v>
      </c>
      <c r="J99" s="10" t="s">
        <v>31</v>
      </c>
      <c r="K99" s="10" t="s">
        <v>32</v>
      </c>
      <c r="L99" s="10" t="s">
        <v>33</v>
      </c>
      <c r="M99" s="289" t="s">
        <v>222</v>
      </c>
      <c r="N99" s="289" t="s">
        <v>223</v>
      </c>
      <c r="O99" s="289" t="s">
        <v>224</v>
      </c>
      <c r="P99" s="289" t="s">
        <v>225</v>
      </c>
      <c r="Q99" s="289" t="s">
        <v>242</v>
      </c>
    </row>
    <row r="100" spans="1:17" x14ac:dyDescent="0.2">
      <c r="A100" s="4" t="s">
        <v>68</v>
      </c>
      <c r="B100" s="4">
        <v>0.55500000000000005</v>
      </c>
      <c r="C100" s="4">
        <v>0.56499999999999995</v>
      </c>
      <c r="D100" s="4">
        <v>0.56999999999999995</v>
      </c>
      <c r="E100" s="4">
        <v>0.56999999999999995</v>
      </c>
      <c r="F100" s="4">
        <v>0.56999999999999995</v>
      </c>
      <c r="G100" s="4">
        <v>0.56999999999999995</v>
      </c>
      <c r="H100" s="4">
        <v>0.56999999999999995</v>
      </c>
      <c r="I100" s="4">
        <v>0.56999999999999995</v>
      </c>
      <c r="J100" s="4">
        <v>0.56999999999999995</v>
      </c>
      <c r="K100" s="4">
        <v>0.56999999999999995</v>
      </c>
      <c r="L100" s="4">
        <v>0.56999999999999995</v>
      </c>
      <c r="M100" s="4">
        <v>0.56999999999999995</v>
      </c>
      <c r="N100" s="4">
        <v>0.56999999999999995</v>
      </c>
      <c r="O100" s="4">
        <v>0.56999999999999995</v>
      </c>
      <c r="P100" s="4">
        <v>0.56999999999999995</v>
      </c>
      <c r="Q100" s="4">
        <v>0.56999999999999995</v>
      </c>
    </row>
    <row r="101" spans="1:17" x14ac:dyDescent="0.2">
      <c r="A101" s="4" t="s">
        <v>69</v>
      </c>
      <c r="B101" s="4">
        <v>0.26</v>
      </c>
      <c r="C101" s="4">
        <v>0.26</v>
      </c>
      <c r="D101" s="4">
        <v>0.26</v>
      </c>
      <c r="E101" s="4">
        <v>0.26</v>
      </c>
      <c r="F101" s="4">
        <v>0.26</v>
      </c>
      <c r="G101" s="4">
        <v>0.26</v>
      </c>
      <c r="H101" s="4">
        <v>0.26</v>
      </c>
      <c r="I101" s="4">
        <v>0.26</v>
      </c>
      <c r="J101" s="4">
        <v>0.26</v>
      </c>
      <c r="K101" s="4">
        <v>0.26</v>
      </c>
      <c r="L101" s="4">
        <v>0.26</v>
      </c>
      <c r="M101" s="4">
        <v>0.26</v>
      </c>
      <c r="N101" s="4">
        <v>0.26</v>
      </c>
      <c r="O101" s="4">
        <v>0.26</v>
      </c>
      <c r="P101" s="4">
        <v>0.26</v>
      </c>
      <c r="Q101" s="4">
        <v>0.26</v>
      </c>
    </row>
    <row r="102" spans="1:17" x14ac:dyDescent="0.2">
      <c r="A102" s="4" t="s">
        <v>70</v>
      </c>
      <c r="B102" s="4">
        <v>0.38</v>
      </c>
      <c r="C102" s="4">
        <v>0.38500000000000001</v>
      </c>
      <c r="D102" s="4">
        <v>0.39</v>
      </c>
      <c r="E102" s="4">
        <v>0.39</v>
      </c>
      <c r="F102" s="4">
        <v>0.39</v>
      </c>
      <c r="G102" s="4">
        <v>0.39</v>
      </c>
      <c r="H102" s="4">
        <v>0.39</v>
      </c>
      <c r="I102" s="4">
        <v>0.39</v>
      </c>
      <c r="J102" s="4">
        <v>0.39</v>
      </c>
      <c r="K102" s="4">
        <v>0.39</v>
      </c>
      <c r="L102" s="4">
        <v>0.39</v>
      </c>
      <c r="M102" s="4">
        <v>0.39</v>
      </c>
      <c r="N102" s="4">
        <v>0.39</v>
      </c>
      <c r="O102" s="4">
        <v>0.39</v>
      </c>
      <c r="P102" s="4">
        <v>0.39</v>
      </c>
      <c r="Q102" s="4">
        <v>0.39</v>
      </c>
    </row>
    <row r="103" spans="1:17" x14ac:dyDescent="0.2">
      <c r="A103" s="4" t="s">
        <v>71</v>
      </c>
      <c r="B103" s="4">
        <v>0.245</v>
      </c>
      <c r="C103" s="4">
        <v>0.245</v>
      </c>
      <c r="D103" s="4">
        <v>0.25</v>
      </c>
      <c r="E103" s="4">
        <v>0.25</v>
      </c>
      <c r="F103" s="4">
        <v>0.25</v>
      </c>
      <c r="G103" s="4">
        <v>0.25</v>
      </c>
      <c r="H103" s="4">
        <v>0.25</v>
      </c>
      <c r="I103" s="4">
        <v>0.25</v>
      </c>
      <c r="J103" s="4">
        <v>0.25</v>
      </c>
      <c r="K103" s="4">
        <v>0.25</v>
      </c>
      <c r="L103" s="4">
        <v>0.25</v>
      </c>
      <c r="M103" s="4">
        <v>0.25</v>
      </c>
      <c r="N103" s="4">
        <v>0.25</v>
      </c>
      <c r="O103" s="4">
        <v>0.25</v>
      </c>
      <c r="P103" s="4">
        <v>0.25</v>
      </c>
      <c r="Q103" s="4">
        <v>0.25</v>
      </c>
    </row>
    <row r="104" spans="1:17" x14ac:dyDescent="0.2">
      <c r="A104" s="4" t="s">
        <v>72</v>
      </c>
      <c r="B104" s="4">
        <v>0.5</v>
      </c>
      <c r="C104" s="4">
        <v>0.5</v>
      </c>
      <c r="D104" s="4">
        <v>0.5</v>
      </c>
      <c r="E104" s="4">
        <v>0.5</v>
      </c>
      <c r="F104" s="4">
        <v>0.5</v>
      </c>
      <c r="G104" s="4">
        <v>0.5</v>
      </c>
      <c r="H104" s="4">
        <v>0.5</v>
      </c>
      <c r="I104" s="4">
        <v>0.5</v>
      </c>
      <c r="J104" s="4">
        <v>0.5</v>
      </c>
      <c r="K104" s="4">
        <v>0.5</v>
      </c>
      <c r="L104" s="4">
        <v>0.5</v>
      </c>
      <c r="M104" s="4">
        <v>0.5</v>
      </c>
      <c r="N104" s="4">
        <v>0.5</v>
      </c>
      <c r="O104" s="4">
        <v>0.5</v>
      </c>
      <c r="P104" s="4">
        <v>0.5</v>
      </c>
      <c r="Q104" s="4">
        <v>0.5</v>
      </c>
    </row>
    <row r="105" spans="1:17" x14ac:dyDescent="0.2">
      <c r="A105" s="4" t="s">
        <v>73</v>
      </c>
      <c r="B105" s="4">
        <v>0.54400000000000004</v>
      </c>
      <c r="C105" s="4">
        <v>0.54400000000000004</v>
      </c>
      <c r="D105" s="4">
        <v>0.54400000000000004</v>
      </c>
      <c r="E105" s="4">
        <v>0.54400000000000004</v>
      </c>
      <c r="F105" s="4">
        <v>0.54400000000000004</v>
      </c>
      <c r="G105" s="4">
        <v>0.54400000000000004</v>
      </c>
      <c r="H105" s="4">
        <v>0.54400000000000004</v>
      </c>
      <c r="I105" s="4">
        <v>0.54400000000000004</v>
      </c>
      <c r="J105" s="4">
        <v>0.54400000000000004</v>
      </c>
      <c r="K105" s="4">
        <v>0.54400000000000004</v>
      </c>
      <c r="L105" s="4">
        <v>0.54400000000000004</v>
      </c>
      <c r="M105" s="4">
        <v>0.54400000000000004</v>
      </c>
      <c r="N105" s="4">
        <v>0.54400000000000004</v>
      </c>
      <c r="O105" s="4">
        <v>0.54400000000000004</v>
      </c>
      <c r="P105" s="4">
        <v>0.54400000000000004</v>
      </c>
      <c r="Q105" s="4">
        <v>0.54400000000000004</v>
      </c>
    </row>
    <row r="106" spans="1:17" x14ac:dyDescent="0.2">
      <c r="A106" s="4" t="s">
        <v>74</v>
      </c>
      <c r="B106" s="4">
        <v>0.89</v>
      </c>
      <c r="C106" s="4">
        <v>0.89</v>
      </c>
      <c r="D106" s="4">
        <v>0.89</v>
      </c>
      <c r="E106" s="4">
        <v>0.89</v>
      </c>
      <c r="F106" s="4">
        <v>0.89</v>
      </c>
      <c r="G106" s="4">
        <v>0.89</v>
      </c>
      <c r="H106" s="4">
        <v>0.89</v>
      </c>
      <c r="I106" s="4">
        <v>0.89</v>
      </c>
      <c r="J106" s="4">
        <v>0.89</v>
      </c>
      <c r="K106" s="4">
        <v>0.89</v>
      </c>
      <c r="L106" s="4">
        <v>0.89</v>
      </c>
      <c r="M106" s="4">
        <v>0.89</v>
      </c>
      <c r="N106" s="4">
        <v>0.89</v>
      </c>
      <c r="O106" s="4">
        <v>0.89</v>
      </c>
      <c r="P106" s="4">
        <v>0.89</v>
      </c>
      <c r="Q106" s="4">
        <v>0.89</v>
      </c>
    </row>
    <row r="107" spans="1:17" x14ac:dyDescent="0.2">
      <c r="A107" s="4" t="s">
        <v>75</v>
      </c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9" spans="1:17" x14ac:dyDescent="0.2">
      <c r="A109" s="9" t="s">
        <v>76</v>
      </c>
      <c r="B109" s="315" t="s">
        <v>7</v>
      </c>
      <c r="C109" s="316"/>
      <c r="D109" s="315" t="s">
        <v>8</v>
      </c>
      <c r="E109" s="316"/>
      <c r="F109" s="315" t="s">
        <v>9</v>
      </c>
      <c r="G109" s="316"/>
      <c r="H109" s="315" t="s">
        <v>18</v>
      </c>
      <c r="I109" s="316"/>
      <c r="J109" s="315" t="s">
        <v>10</v>
      </c>
      <c r="K109" s="316"/>
    </row>
    <row r="110" spans="1:17" x14ac:dyDescent="0.2">
      <c r="A110" s="9"/>
      <c r="B110" s="11" t="s">
        <v>36</v>
      </c>
      <c r="C110" s="11" t="s">
        <v>37</v>
      </c>
      <c r="D110" s="11" t="s">
        <v>36</v>
      </c>
      <c r="E110" s="11" t="s">
        <v>37</v>
      </c>
      <c r="F110" s="11" t="s">
        <v>36</v>
      </c>
      <c r="G110" s="11" t="s">
        <v>37</v>
      </c>
      <c r="H110" s="11" t="s">
        <v>36</v>
      </c>
      <c r="I110" s="11" t="s">
        <v>37</v>
      </c>
      <c r="J110" s="11" t="s">
        <v>36</v>
      </c>
      <c r="K110" s="11" t="s">
        <v>37</v>
      </c>
    </row>
    <row r="111" spans="1:17" x14ac:dyDescent="0.2">
      <c r="A111" s="4" t="s">
        <v>68</v>
      </c>
      <c r="B111" s="4">
        <f>IF($C$4=$B$99,$B$100,IF($C$4=$C$99,$C$100,IF($C$4=$D$99,$D$100,IF($C$4=$E$99,$E$100,IF($C$4=$F$99,$F$100,IF($C$4=$G$99,$G$100,IF($C$4=$H$99,$H$100,IF($C$4=$I$99,$I$100,IF($C$4=$J$99,$J$100,IF($C$4=$K$99,$K$100,IF($C$4=$L$99,$L$100,IF($C$4=$M$99,$M$100,IF($C$4=$N$99,$N$100,IF($C$4=$O$99,$O$100,IF($C$4=$P$99,$P$100,P100)))))))))))))))</f>
        <v>0.56999999999999995</v>
      </c>
      <c r="C111" s="4">
        <f>IF($C$7=0,$B111,IF($C$4=$B$99,$C100,IF($C$4=$C$99,$D100,IF($C$4=$D$99,$E100,IF($C$4=$E$99,$F100,IF($C$4=$F$99,$G100,IF($C$4=$G$99,$H100,IF($C$4=$H$99,$I100,IF($C$4=$I$99,$J100,IF($C$4=$J$99,$K100,IF($C$4=$K$99,$L100,IF($C$4=$L$99,$M100,IF($C$4=$M$99,$N100,IF($C$4=$N$99,$O100,IF($C$4=$O$99,$P100,IF($C$4=$P$99,$Q100,Q100))))))))))))))))</f>
        <v>0.56999999999999995</v>
      </c>
      <c r="D111" s="4">
        <f>IF($D$4=$B$99,$B100,IF($D$4=$C$99,$C100,IF($D$4=$D$99,$D100,IF($D$4=$E$99,$E100,IF($D$4=$F$99,$F100,IF($D$4=$G$99,$G100,IF($D$4=$H$99,$H100,IF($D$4=$I$99,$I100,IF($D$4=$J$99,$J100,IF($D$4=$K$99,$K100,IF($D$4=$L$99,$L100,IF($D$4=$M$99,$M100,IF($D$4=$N$99,$N100,IF($D$4=$O$99,$O100,IF($D$4=$P$99,$P100,P100)))))))))))))))</f>
        <v>0.56999999999999995</v>
      </c>
      <c r="E111" s="4">
        <f>IF($D$7=0,$D111,IF($D$4=$B$99,$C100,IF($D$4=$C$99,$D100,IF($D$4=$D$99,$E100,IF($D$4=$E$99,$F100,IF($D$4=$F$99,$G100,IF($D$4=$G$99,$H100,IF($D$4=$H$99,$I100,IF($D$4=$I$99,$J100,IF($D$4=$J$99,$K100,IF($D$4=$K$99,$L100,IF($D$4=$L$99,$M100,IF($D$4=$M$99,$N100,IF($D$4=$N$99,$O100,IF($D$4=$O$99,$P100,IF($D$4=$P$99,$Q100,Q100))))))))))))))))</f>
        <v>0.56999999999999995</v>
      </c>
      <c r="F111" s="4">
        <f>IF($E$4=$B$99,$B100,IF($E$4=$C$99,$C100,IF($E$4=$D$99,$D100,IF($E$4=$E$99,$E100,IF($E$4=$F$99,$F100,IF($E$4=$G$99,$G100,IF($E$4=$H$99,$H100,IF($E$4=$I$99,$I100,IF($E$4=$J$99,$J100,IF($E$4=$K$99,$K100,IF($E$4=$L$99,$L100,IF($E$4=$M$99,$M100,IF($E$4=$N$99,$N100,IF($E$4=$O$99,$O100,IF($E$4=$P$99,$P100,P100)))))))))))))))</f>
        <v>0.56999999999999995</v>
      </c>
      <c r="G111" s="4">
        <f>IF($E$7=0,$F111,IF($E$4=$B$99,$C100,IF($E$4=$C$99,$D100,IF($E$4=$D$99,$E100,IF($E$4=$E$99,$F100,IF($E$4=$F$99,$G100,IF($E$4=$G$99,$H100,IF($E$4=$H$99,$I100,IF($E$4=$I$99,$J100,IF($E$4=$J$99,$K100,IF($E$4=$K$99,$L100,IF($E$4=$L$99,$M100,IF($E$4=$M$99,$N100,IF($E$4=$N$99,$O100,IF($E$4=$O$99,$P100,IF($E$4=$P$99,$Q100,Q100))))))))))))))))</f>
        <v>0.56999999999999995</v>
      </c>
      <c r="H111" s="4">
        <f>IF($F$4=$B$99,$B100,IF($F$4=$C$99,$C100,IF($F$4=$D$99,$D100,IF($F$4=$E$99,$E100,IF($F$4=$F$99,$F100,IF($F$4=$G$99,$G100,IF($F$4=$H$99,$H100,IF($F$4=$I$99,$I100,IF($F$4=$J$99,$J100,IF($F$4=$K$99,$K100,IF($F$4=$L$99,$L100,IF($F$4=$M$99,$M100,IF($F$4=$N$99,$N100,IF($F$4=$O$99,$O100,IF($F$4=$P$99,$P100,IF($F$4=$Q$99,$Q100,Q100))))))))))))))))</f>
        <v>0.56999999999999995</v>
      </c>
      <c r="I111" s="4">
        <f>IF($F$7=0,$H111,IF($F$4=$B$99,$C100,IF($F$4=$C$99,$D100,IF($F$4=$D$99,$E100,IF($F$4=$E$99,$F100,IF($F$4=$F$99,$G100,IF($F$4=$G$99,$H100,IF($F$4=$H$99,$I100,IF($F$4=$I$99,$J100,IF($F$4=$J$99,$K100,IF($F$4=$K$99,$L100,IF($F$4=$L$99,$M100,IF($F$4=$M$99,$N100,IF($F$4=$N$99,$O100,IF($F$4=$O$99,$P100,IF($F$4=$P$99,$Q100,Q100))))))))))))))))</f>
        <v>0.56999999999999995</v>
      </c>
      <c r="J111" s="4">
        <f>IF($G$4=$B$99,$B100,IF($G$4=$C$99,$C100,IF($G$4=$D$99,$D100,IF($G$4=$E$99,$E100,IF($G$4=$F$99,$F100,IF($G$4=$G$99,$G100,IF($G$4=$H$99,$H100,IF($G$4=$I$99,$I100,IF($G$4=$J$99,$J100,IF($G$4=$K$99,$K100,IF($G$4=$L$99,$L100,IF($G$4=$M$99,$M100,IF($G$4=$N$99,$N100,IF($G$4=$O$99,$O100,IF($G$4=$P$99,$P100,IF($G$4=$Q$99,$Q100,Q100))))))))))))))))</f>
        <v>0.56999999999999995</v>
      </c>
      <c r="K111" s="4">
        <f>IF($G$7=0,$J111,IF($G$4=$B$99,$C100,IF($G$4=$C$99,$D100,IF($G$4=$D$99,$E100,IF($G$4=$E$99,$F100,IF($G$4=$F$99,$G100,IF($G$4=$G$99,$H100,IF($G$4=$H$99,$I100,IF($G$4=$I$99,$J100,IF($G$4=$J$99,$K100,IF($G$4=$K$99,$L100,IF($G$4=$L$99,$M100,IF($G$4=$M$99,$N100,IF($G$4=$N$99,$O100,IF($G$4=$O$99,$P100,IF($G$4=$P$99,$Q100,Q100))))))))))))))))</f>
        <v>0.56999999999999995</v>
      </c>
    </row>
    <row r="112" spans="1:17" x14ac:dyDescent="0.2">
      <c r="A112" s="4" t="s">
        <v>69</v>
      </c>
      <c r="B112" s="4">
        <f>IF($C$4=$B$99,$B101,IF($C$4=$C$99,$C101,IF($C$4=$D$99,$D101,IF($C$4=$E$99,$E101,IF($C$4=$F$99,$F101,IF($C$4=$G$99,$G101,IF($C$4=$H$99,$H101,IF($C$4=$I$99,$I101,IF($C$4=$J$99,$J101,IF($C$4=$K$99,$K101,IF($C$4=$L$99,$L101,IF($C$4=$M$99,$M101,IF($C$4=$N$99,$N101,IF($C$4=$O$99,$O101,IF($C$4=$P$99,$P101,P101)))))))))))))))</f>
        <v>0.26</v>
      </c>
      <c r="C112" s="4">
        <f>IF($C$7=0,$B112,IF($C$4=$B$99,$C101,IF($C$4=$C$99,$D101,IF($C$4=$D$99,$E101,IF($C$4=$E$99,$F101,IF($C$4=$F$99,$G101,IF($C$4=$G$99,$H101,IF($C$4=$H$99,$I101,IF($C$4=$I$99,$J101,IF($C$4=$J$99,$K101,IF($C$4=$K$99,$L101,IF($C$4=$L$99,$M101,IF($C$4=$M$99,$N101,IF($C$4=$N$99,$O101,IF($C$4=$O$99,$P101,IF($C$4=$P$99,$Q101,Q101))))))))))))))))</f>
        <v>0.26</v>
      </c>
      <c r="D112" s="4">
        <f>IF($D$4=$B$99,$B101,IF($D$4=$C$99,$C101,IF($D$4=$D$99,$D101,IF($D$4=$E$99,$E101,IF($D$4=$F$99,$F101,IF($D$4=$G$99,$G101,IF($D$4=$H$99,$H101,IF($D$4=$I$99,$I101,IF($D$4=$J$99,$J101,IF($D$4=$K$99,$K101,IF($D$4=$L$99,$L101,IF($D$4=$M$99,$M101,IF($D$4=$N$99,$N101,IF($D$4=$O$99,$O101,IF($D$4=$P$99,$P101,P101)))))))))))))))</f>
        <v>0.26</v>
      </c>
      <c r="E112" s="4">
        <f>IF($D$7=0,$D112,IF($D$4=$B$99,$C101,IF($D$4=$C$99,$D101,IF($D$4=$D$99,$E101,IF($D$4=$E$99,$F101,IF($D$4=$F$99,$G101,IF($D$4=$G$99,$H101,IF($D$4=$H$99,$I101,IF($D$4=$I$99,$J101,IF($D$4=$J$99,$K101,IF($D$4=$K$99,$L101,IF($D$4=$L$99,$M101,IF($D$4=$M$99,$N101,IF($D$4=$N$99,$O101,IF($D$4=$O$99,$P101,IF($D$4=$P$99,$Q101,Q101))))))))))))))))</f>
        <v>0.26</v>
      </c>
      <c r="F112" s="4">
        <f>IF($E$4=$B$99,$B101,IF($E$4=$C$99,$C101,IF($E$4=$D$99,$D101,IF($E$4=$E$99,$E101,IF($E$4=$F$99,$F101,IF($E$4=$G$99,$G101,IF($E$4=$H$99,$H101,IF($E$4=$I$99,$I101,IF($E$4=$J$99,$J101,IF($E$4=$K$99,$K101,IF($E$4=$L$99,$L101,IF($E$4=$M$99,$M101,IF($E$4=$N$99,$N101,IF($E$4=$O$99,$O101,IF($E$4=$P$99,$P101,P101)))))))))))))))</f>
        <v>0.26</v>
      </c>
      <c r="G112" s="4">
        <f>IF($E$7=0,$F112,IF($E$4=$B$99,$C101,IF($E$4=$C$99,$D101,IF($E$4=$D$99,$E101,IF($E$4=$E$99,$F101,IF($E$4=$F$99,$G101,IF($E$4=$G$99,$H101,IF($E$4=$H$99,$I101,IF($E$4=$I$99,$J101,IF($E$4=$J$99,$K101,IF($E$4=$K$99,$L101,IF($E$4=$L$99,$M101,IF($E$4=$M$99,$N101,IF($E$4=$N$99,$O101,IF($E$4=$O$99,$P101,IF($E$4=$P$99,$Q101,Q101))))))))))))))))</f>
        <v>0.26</v>
      </c>
      <c r="H112" s="4">
        <f>IF($F$4=$B$99,$B101,IF($F$4=$C$99,$C101,IF($F$4=$D$99,$D101,IF($F$4=$E$99,$E101,IF($F$4=$F$99,$F101,IF($F$4=$G$99,$G101,IF($F$4=$H$99,$H101,IF($F$4=$I$99,$I101,IF($F$4=$J$99,$J101,IF($F$4=$K$99,$K101,IF($F$4=$L$99,$L101,IF($F$4=$M$99,$M101,IF($F$4=$N$99,$N101,IF($F$4=$O$99,$O101,IF($F$4=$P$99,$P101,IF($F$4=$Q$99,$Q101,Q101))))))))))))))))</f>
        <v>0.26</v>
      </c>
      <c r="I112" s="4">
        <f>IF($F$7=0,$H112,IF($F$4=$B$99,$C101,IF($F$4=$C$99,$D101,IF($F$4=$D$99,$E101,IF($F$4=$E$99,$F101,IF($F$4=$F$99,$G101,IF($F$4=$G$99,$H101,IF($F$4=$H$99,$I101,IF($F$4=$I$99,$J101,IF($F$4=$J$99,$K101,IF($F$4=$K$99,$L101,IF($F$4=$L$99,$M101,IF($F$4=$M$99,$N101,IF($F$4=$N$99,$O101,IF($F$4=$O$99,$P101,IF($F$4=$P$99,$Q101,Q101))))))))))))))))</f>
        <v>0.26</v>
      </c>
      <c r="J112" s="4">
        <f>IF($G$4=$B$99,$B101,IF($G$4=$C$99,$C101,IF($G$4=$D$99,$D101,IF($G$4=$E$99,$E101,IF($G$4=$F$99,$F101,IF($G$4=$G$99,$G101,IF($G$4=$H$99,$H101,IF($G$4=$I$99,$I101,IF($G$4=$J$99,$J101,IF($G$4=$K$99,$K101,IF($G$4=$L$99,$L101,IF($G$4=$M$99,$M101,IF($G$4=$N$99,$N101,IF($G$4=$O$99,$O101,IF($G$4=$P$99,$P101,IF($G$4=$Q$99,$Q101,Q101))))))))))))))))</f>
        <v>0.26</v>
      </c>
      <c r="K112" s="4">
        <f>IF($G$7=0,$J112,IF($G$4=$B$99,$C101,IF($G$4=$C$99,$D101,IF($G$4=$D$99,$E101,IF($G$4=$E$99,$F101,IF($G$4=$F$99,$G101,IF($G$4=$G$99,$H101,IF($G$4=$H$99,$I101,IF($G$4=$I$99,$J101,IF($G$4=$J$99,$K101,IF($G$4=$K$99,$L101,IF($G$4=$L$99,$M101,IF($G$4=$M$99,$N101,IF($G$4=$N$99,$O101,IF($G$4=$O$99,$P101,IF($G$4=$P$99,$Q101,Q101))))))))))))))))</f>
        <v>0.26</v>
      </c>
    </row>
    <row r="113" spans="1:11" x14ac:dyDescent="0.2">
      <c r="A113" s="4" t="s">
        <v>70</v>
      </c>
      <c r="B113" s="4">
        <f>IF($C$4=$B$99,$B102,IF($C$4=$C$99,$C102,IF($C$4=$D$99,$D102,IF($C$4=$E$99,$E102,IF($C$4=$F$99,$F102,IF($C$4=$G$99,$G102,IF($C$4=$H$99,$H102,IF($C$4=$I$99,$I102,IF($C$4=$J$99,$J102,IF($C$4=$K$99,$K102,IF($C$4=$L$99,$L102,IF($C$4=$M$99,$M102,IF($C$4=$N$99,$N102,IF($C$4=$O$99,$O102,IF($C$4=$P$99,$P102,P102)))))))))))))))</f>
        <v>0.39</v>
      </c>
      <c r="C113" s="4">
        <f>IF($C$7=0,$B113,IF($C$4=$B$99,$C102,IF($C$4=$C$99,$D102,IF($C$4=$D$99,$E102,IF($C$4=$E$99,$F102,IF($C$4=$F$99,$G102,IF($C$4=$G$99,$H102,IF($C$4=$H$99,$I102,IF($C$4=$I$99,$J102,IF($C$4=$J$99,$K102,IF($C$4=$K$99,$L102,IF($C$4=$L$99,$M102,IF($C$4=$M$99,$N102,IF($C$4=$N$99,$O102,IF($C$4=$O$99,$P102,IF($C$4=$P$99,$Q102,Q102))))))))))))))))</f>
        <v>0.39</v>
      </c>
      <c r="D113" s="4">
        <f>IF($D$4=$B$99,$B102,IF($D$4=$C$99,$C102,IF($D$4=$D$99,$D102,IF($D$4=$E$99,$E102,IF($D$4=$F$99,$F102,IF($D$4=$G$99,$G102,IF($D$4=$H$99,$H102,IF($D$4=$I$99,$I102,IF($D$4=$J$99,$J102,IF($D$4=$K$99,$K102,IF($D$4=$L$99,$L102,IF($D$4=$M$99,$M102,IF($D$4=$N$99,$N102,IF($D$4=$O$99,$O102,IF($D$4=$P$99,$P102,P102)))))))))))))))</f>
        <v>0.39</v>
      </c>
      <c r="E113" s="4">
        <f>IF($D$7=0,$D113,IF($D$4=$B$99,$C102,IF($D$4=$C$99,$D102,IF($D$4=$D$99,$E102,IF($D$4=$E$99,$F102,IF($D$4=$F$99,$G102,IF($D$4=$G$99,$H102,IF($D$4=$H$99,$I102,IF($D$4=$I$99,$J102,IF($D$4=$J$99,$K102,IF($D$4=$K$99,$L102,IF($D$4=$L$99,$M102,IF($D$4=$M$99,$N102,IF($D$4=$N$99,$O102,IF($D$4=$O$99,$P102,IF($D$4=$P$99,$Q102,Q102))))))))))))))))</f>
        <v>0.39</v>
      </c>
      <c r="F113" s="4">
        <f>IF($E$4=$B$99,$B102,IF($E$4=$C$99,$C102,IF($E$4=$D$99,$D102,IF($E$4=$E$99,$E102,IF($E$4=$F$99,$F102,IF($E$4=$G$99,$G102,IF($E$4=$H$99,$H102,IF($E$4=$I$99,$I102,IF($E$4=$J$99,$J102,IF($E$4=$K$99,$K102,IF($E$4=$L$99,$L102,IF($E$4=$M$99,$M102,IF($E$4=$N$99,$N102,IF($E$4=$O$99,$O102,IF($E$4=$P$99,$P102,P102)))))))))))))))</f>
        <v>0.39</v>
      </c>
      <c r="G113" s="4">
        <f>IF($E$7=0,$F113,IF($E$4=$B$99,$C102,IF($E$4=$C$99,$D102,IF($E$4=$D$99,$E102,IF($E$4=$E$99,$F102,IF($E$4=$F$99,$G102,IF($E$4=$G$99,$H102,IF($E$4=$H$99,$I102,IF($E$4=$I$99,$J102,IF($E$4=$J$99,$K102,IF($E$4=$K$99,$L102,IF($E$4=$L$99,$M102,IF($E$4=$M$99,$N102,IF($E$4=$N$99,$O102,IF($E$4=$O$99,$P102,IF($E$4=$P$99,$Q102,Q102))))))))))))))))</f>
        <v>0.39</v>
      </c>
      <c r="H113" s="4">
        <f>IF($F$4=$B$99,$B102,IF($F$4=$C$99,$C102,IF($F$4=$D$99,$D102,IF($F$4=$E$99,$E102,IF($F$4=$F$99,$F102,IF($F$4=$G$99,$G102,IF($F$4=$H$99,$H102,IF($F$4=$I$99,$I102,IF($F$4=$J$99,$J102,IF($F$4=$K$99,$K102,IF($F$4=$L$99,$L102,IF($F$4=$M$99,$M102,IF($F$4=$N$99,$N102,IF($F$4=$O$99,$O102,IF($F$4=$P$99,$P102,IF($F$4=$Q$99,$Q102,Q102))))))))))))))))</f>
        <v>0.39</v>
      </c>
      <c r="I113" s="4">
        <f>IF($F$7=0,$H113,IF($F$4=$B$99,$C102,IF($F$4=$C$99,$D102,IF($F$4=$D$99,$E102,IF($F$4=$E$99,$F102,IF($F$4=$F$99,$G102,IF($F$4=$G$99,$H102,IF($F$4=$H$99,$I102,IF($F$4=$I$99,$J102,IF($F$4=$J$99,$K102,IF($F$4=$K$99,$L102,IF($F$4=$L$99,$M102,IF($F$4=$M$99,$N102,IF($F$4=$N$99,$O102,IF($F$4=$O$99,$P102,IF($F$4=$P$99,$Q102,Q102))))))))))))))))</f>
        <v>0.39</v>
      </c>
      <c r="J113" s="4">
        <f>IF($G$4=$B$99,$B102,IF($G$4=$C$99,$C102,IF($G$4=$D$99,$D102,IF($G$4=$E$99,$E102,IF($G$4=$F$99,$F102,IF($G$4=$G$99,$G102,IF($G$4=$H$99,$H102,IF($G$4=$I$99,$I102,IF($G$4=$J$99,$J102,IF($G$4=$K$99,$K102,IF($G$4=$L$99,$L102,IF($G$4=$M$99,$M102,IF($G$4=$N$99,$N102,IF($G$4=$O$99,$O102,IF($G$4=$P$99,$P102,IF($G$4=$Q$99,$Q102,Q102))))))))))))))))</f>
        <v>0.39</v>
      </c>
      <c r="K113" s="4">
        <f>IF($G$7=0,$J113,IF($G$4=$B$99,$C102,IF($G$4=$C$99,$D102,IF($G$4=$D$99,$E102,IF($G$4=$E$99,$F102,IF($G$4=$F$99,$G102,IF($G$4=$G$99,$H102,IF($G$4=$H$99,$I102,IF($G$4=$I$99,$J102,IF($G$4=$J$99,$K102,IF($G$4=$K$99,$L102,IF($G$4=$L$99,$M102,IF($G$4=$M$99,$N102,IF($G$4=$N$99,$O102,IF($G$4=$O$99,$P102,IF($G$4=$P$99,$Q102,Q102))))))))))))))))</f>
        <v>0.39</v>
      </c>
    </row>
    <row r="114" spans="1:11" x14ac:dyDescent="0.2">
      <c r="A114" s="4" t="s">
        <v>71</v>
      </c>
      <c r="B114" s="4">
        <f>IF($C$4=$B$99,$B103,IF($C$4=$C$99,$C103,IF($C$4=$D$99,$D103,IF($C$4=$E$99,$E103,IF($C$4=$F$99,$F103,IF($C$4=$G$99,$G103,IF($C$4=$H$99,$H103,IF($C$4=$I$99,$I103,IF($C$4=$J$99,$J103,IF($C$4=$K$99,$K103,IF($C$4=$L$99,$L103,IF($C$4=$M$99,$M103,IF($C$4=$N$99,$N103,IF($C$4=$O$99,$O103,IF($C$4=$P$99,$P103,P103)))))))))))))))</f>
        <v>0.25</v>
      </c>
      <c r="C114" s="4">
        <f>IF($C$7=0,$B114,IF($C$4=$B$99,$C103,IF($C$4=$C$99,$D103,IF($C$4=$D$99,$E103,IF($C$4=$E$99,$F103,IF($C$4=$F$99,$G103,IF($C$4=$G$99,$H103,IF($C$4=$H$99,$I103,IF($C$4=$I$99,$J103,IF($C$4=$J$99,$K103,IF($C$4=$K$99,$L103,IF($C$4=$L$99,$M103,IF($C$4=$M$99,$N103,IF($C$4=$N$99,$O103,IF($C$4=$O$99,$P103,IF($C$4=$P$99,$Q103,Q103))))))))))))))))</f>
        <v>0.25</v>
      </c>
      <c r="D114" s="4">
        <f>IF($D$4=$B$99,$B103,IF($D$4=$C$99,$C103,IF($D$4=$D$99,$D103,IF($D$4=$E$99,$E103,IF($D$4=$F$99,$F103,IF($D$4=$G$99,$G103,IF($D$4=$H$99,$H103,IF($D$4=$I$99,$I103,IF($D$4=$J$99,$J103,IF($D$4=$K$99,$K103,IF($D$4=$L$99,$L103,IF($D$4=$M$99,$M103,IF($D$4=$N$99,$N103,IF($D$4=$O$99,$O103,IF($D$4=$P$99,$P103,P103)))))))))))))))</f>
        <v>0.25</v>
      </c>
      <c r="E114" s="4">
        <f>IF($D$7=0,$D114,IF($D$4=$B$99,$C103,IF($D$4=$C$99,$D103,IF($D$4=$D$99,$E103,IF($D$4=$E$99,$F103,IF($D$4=$F$99,$G103,IF($D$4=$G$99,$H103,IF($D$4=$H$99,$I103,IF($D$4=$I$99,$J103,IF($D$4=$J$99,$K103,IF($D$4=$K$99,$L103,IF($D$4=$L$99,$M103,IF($D$4=$M$99,$N103,IF($D$4=$N$99,$O103,IF($D$4=$O$99,$P103,IF($D$4=$P$99,$Q103,Q103))))))))))))))))</f>
        <v>0.25</v>
      </c>
      <c r="F114" s="4">
        <f>IF($E$4=$B$99,$B103,IF($E$4=$C$99,$C103,IF($E$4=$D$99,$D103,IF($E$4=$E$99,$E103,IF($E$4=$F$99,$F103,IF($E$4=$G$99,$G103,IF($E$4=$H$99,$H103,IF($E$4=$I$99,$I103,IF($E$4=$J$99,$J103,IF($E$4=$K$99,$K103,IF($E$4=$L$99,$L103,IF($E$4=$M$99,$M103,IF($E$4=$N$99,$N103,IF($E$4=$O$99,$O103,IF($E$4=$P$99,$P103,P103)))))))))))))))</f>
        <v>0.25</v>
      </c>
      <c r="G114" s="4">
        <f>IF($E$7=0,$F114,IF($E$4=$B$99,$C103,IF($E$4=$C$99,$D103,IF($E$4=$D$99,$E103,IF($E$4=$E$99,$F103,IF($E$4=$F$99,$G103,IF($E$4=$G$99,$H103,IF($E$4=$H$99,$I103,IF($E$4=$I$99,$J103,IF($E$4=$J$99,$K103,IF($E$4=$K$99,$L103,IF($E$4=$L$99,$M103,IF($E$4=$M$99,$N103,IF($E$4=$N$99,$O103,IF($E$4=$O$99,$P103,IF($E$4=$P$99,$Q103,Q103))))))))))))))))</f>
        <v>0.25</v>
      </c>
      <c r="H114" s="4">
        <f>IF($F$4=$B$99,$B103,IF($F$4=$C$99,$C103,IF($F$4=$D$99,$D103,IF($F$4=$E$99,$E103,IF($F$4=$F$99,$F103,IF($F$4=$G$99,$G103,IF($F$4=$H$99,$H103,IF($F$4=$I$99,$I103,IF($F$4=$J$99,$J103,IF($F$4=$K$99,$K103,IF($F$4=$L$99,$L103,IF($F$4=$M$99,$M103,IF($F$4=$N$99,$N103,IF($F$4=$O$99,$O103,IF($F$4=$P$99,$P103,IF($F$4=$Q$99,$Q103,Q103))))))))))))))))</f>
        <v>0.25</v>
      </c>
      <c r="I114" s="4">
        <f>IF($F$7=0,$H114,IF($F$4=$B$99,$C103,IF($F$4=$C$99,$D103,IF($F$4=$D$99,$E103,IF($F$4=$E$99,$F103,IF($F$4=$F$99,$G103,IF($F$4=$G$99,$H103,IF($F$4=$H$99,$I103,IF($F$4=$I$99,$J103,IF($F$4=$J$99,$K103,IF($F$4=$K$99,$L103,IF($F$4=$L$99,$M103,IF($F$4=$M$99,$N103,IF($F$4=$N$99,$O103,IF($F$4=$O$99,$P103,IF($F$4=$P$99,$Q103,Q103))))))))))))))))</f>
        <v>0.25</v>
      </c>
      <c r="J114" s="4">
        <f>IF($G$4=$B$99,$B103,IF($G$4=$C$99,$C103,IF($G$4=$D$99,$D103,IF($G$4=$E$99,$E103,IF($G$4=$F$99,$F103,IF($G$4=$G$99,$G103,IF($G$4=$H$99,$H103,IF($G$4=$I$99,$I103,IF($G$4=$J$99,$J103,IF($G$4=$K$99,$K103,IF($G$4=$L$99,$L103,IF($G$4=$M$99,$M103,IF($G$4=$N$99,$N103,IF($G$4=$O$99,$O103,IF($G$4=$P$99,$P103,IF($G$4=$Q$99,$Q103,Q103))))))))))))))))</f>
        <v>0.25</v>
      </c>
      <c r="K114" s="4">
        <f>IF($G$7=0,$J114,IF($G$4=$B$99,$C103,IF($G$4=$C$99,$D103,IF($G$4=$D$99,$E103,IF($G$4=$E$99,$F103,IF($G$4=$F$99,$G103,IF($G$4=$G$99,$H103,IF($G$4=$H$99,$I103,IF($G$4=$I$99,$J103,IF($G$4=$J$99,$K103,IF($G$4=$K$99,$L103,IF($G$4=$L$99,$M103,IF($G$4=$M$99,$N103,IF($G$4=$N$99,$O103,IF($G$4=$O$99,$P103,IF($G$4=$P$99,$Q103,Q103))))))))))))))))</f>
        <v>0.25</v>
      </c>
    </row>
    <row r="115" spans="1:11" x14ac:dyDescent="0.2">
      <c r="A115" s="4" t="s">
        <v>72</v>
      </c>
      <c r="B115" s="4">
        <f>IF($C$4=$B$99,$B104,IF($C$4=$C$99,$C104,IF($C$4=$D$99,$D104,IF($C$4=$E$99,$E104,IF($C$4=$F$99,$F104,IF($C$4=$G$99,$G104,IF($C$4=$H$99,$H104,IF($C$4=$I$99,$I104,IF($C$4=$J$99,$J104,IF($C$4=$K$99,$K104,IF($C$4=$L$99,$L104,IF($C$4=$M$99,$M104,IF($C$4=$N$99,$N104,IF($C$4=$O$99,$O104,IF($C$4=$P$99,$P104,P104)))))))))))))))</f>
        <v>0.5</v>
      </c>
      <c r="C115" s="4">
        <f>IF($C$7=0,$B115,IF($C$4=$B$99,$C104,IF($C$4=$C$99,$D104,IF($C$4=$D$99,$E104,IF($C$4=$E$99,$F104,IF($C$4=$F$99,$G104,IF($C$4=$G$99,$H104,IF($C$4=$H$99,$I104,IF($C$4=$I$99,$J104,IF($C$4=$J$99,$K104,IF($C$4=$K$99,$L104,IF($C$4=$L$99,$M104,IF($C$4=$M$99,$N104,IF($C$4=$N$99,$O104,IF($C$4=$O$99,$P104,IF($C$4=$P$99,$Q104,Q104))))))))))))))))</f>
        <v>0.5</v>
      </c>
      <c r="D115" s="4">
        <f>IF($D$4=$B$99,$B104,IF($D$4=$C$99,$C104,IF($D$4=$D$99,$D104,IF($D$4=$E$99,$E104,IF($D$4=$F$99,$F104,IF($D$4=$G$99,$G104,IF($D$4=$H$99,$H104,IF($D$4=$I$99,$I104,IF($D$4=$J$99,$J104,IF($D$4=$K$99,$K104,IF($D$4=$L$99,$L104,IF($D$4=$M$99,$M104,IF($D$4=$N$99,$N104,IF($D$4=$O$99,$O104,IF($D$4=$P$99,$P104,P104)))))))))))))))</f>
        <v>0.5</v>
      </c>
      <c r="E115" s="4">
        <f>IF($D$7=0,$D115,IF($D$4=$B$99,$C104,IF($D$4=$C$99,$D104,IF($D$4=$D$99,$E104,IF($D$4=$E$99,$F104,IF($D$4=$F$99,$G104,IF($D$4=$G$99,$H104,IF($D$4=$H$99,$I104,IF($D$4=$I$99,$J104,IF($D$4=$J$99,$K104,IF($D$4=$K$99,$L104,IF($D$4=$L$99,$M104,IF($D$4=$M$99,$N104,IF($D$4=$N$99,$O104,IF($D$4=$O$99,$P104,IF($D$4=$P$99,$Q104,Q104))))))))))))))))</f>
        <v>0.5</v>
      </c>
      <c r="F115" s="4">
        <f>IF($E$4=$B$99,$B104,IF($E$4=$C$99,$C104,IF($E$4=$D$99,$D104,IF($E$4=$E$99,$E104,IF($E$4=$F$99,$F104,IF($E$4=$G$99,$G104,IF($E$4=$H$99,$H104,IF($E$4=$I$99,$I104,IF($E$4=$J$99,$J104,IF($E$4=$K$99,$K104,IF($E$4=$L$99,$L104,IF($E$4=$M$99,$M104,IF($E$4=$N$99,$N104,IF($E$4=$O$99,$O104,IF($E$4=$P$99,$P104,P104)))))))))))))))</f>
        <v>0.5</v>
      </c>
      <c r="G115" s="4">
        <f>IF($E$7=0,$F115,IF($E$4=$B$99,$C104,IF($E$4=$C$99,$D104,IF($E$4=$D$99,$E104,IF($E$4=$E$99,$F104,IF($E$4=$F$99,$G104,IF($E$4=$G$99,$H104,IF($E$4=$H$99,$I104,IF($E$4=$I$99,$J104,IF($E$4=$J$99,$K104,IF($E$4=$K$99,$L104,IF($E$4=$L$99,$M104,IF($E$4=$M$99,$N104,IF($E$4=$N$99,$O104,IF($E$4=$O$99,$P104,IF($E$4=$P$99,$Q104,Q104))))))))))))))))</f>
        <v>0.5</v>
      </c>
      <c r="H115" s="4">
        <f>IF($F$4=$B$99,$B104,IF($F$4=$C$99,$C104,IF($F$4=$D$99,$D104,IF($F$4=$E$99,$E104,IF($F$4=$F$99,$F104,IF($F$4=$G$99,$G104,IF($F$4=$H$99,$H104,IF($F$4=$I$99,$I104,IF($F$4=$J$99,$J104,IF($F$4=$K$99,$K104,IF($F$4=$L$99,$L104,IF($F$4=$M$99,$M104,IF($F$4=$N$99,$N104,IF($F$4=$O$99,$O104,IF($F$4=$P$99,$P104,IF($F$4=$Q$99,$Q104,Q104))))))))))))))))</f>
        <v>0.5</v>
      </c>
      <c r="I115" s="4">
        <f>IF($F$7=0,$H115,IF($F$4=$B$99,$C104,IF($F$4=$C$99,$D104,IF($F$4=$D$99,$E104,IF($F$4=$E$99,$F104,IF($F$4=$F$99,$G104,IF($F$4=$G$99,$H104,IF($F$4=$H$99,$I104,IF($F$4=$I$99,$J104,IF($F$4=$J$99,$K104,IF($F$4=$K$99,$L104,IF($F$4=$L$99,$M104,IF($F$4=$M$99,$N104,IF($F$4=$N$99,$O104,IF($F$4=$O$99,$P104,IF($F$4=$P$99,$Q104,Q104))))))))))))))))</f>
        <v>0.5</v>
      </c>
      <c r="J115" s="4">
        <f>IF($G$4=$B$99,$B104,IF($G$4=$C$99,$C104,IF($G$4=$D$99,$D104,IF($G$4=$E$99,$E104,IF($G$4=$F$99,$F104,IF($G$4=$G$99,$G104,IF($G$4=$H$99,$H104,IF($G$4=$I$99,$I104,IF($G$4=$J$99,$J104,IF($G$4=$K$99,$K104,IF($G$4=$L$99,$L104,IF($G$4=$M$99,$M104,IF($G$4=$N$99,$N104,IF($G$4=$O$99,$O104,IF($G$4=$P$99,$P104,IF($G$4=$Q$99,$Q104,Q104))))))))))))))))</f>
        <v>0.5</v>
      </c>
      <c r="K115" s="4">
        <f>IF($G$7=0,$J115,IF($G$4=$B$99,$C104,IF($G$4=$C$99,$D104,IF($G$4=$D$99,$E104,IF($G$4=$E$99,$F104,IF($G$4=$F$99,$G104,IF($G$4=$G$99,$H104,IF($G$4=$H$99,$I104,IF($G$4=$I$99,$J104,IF($G$4=$J$99,$K104,IF($G$4=$K$99,$L104,IF($G$4=$L$99,$M104,IF($G$4=$M$99,$N104,IF($G$4=$N$99,$O104,IF($G$4=$O$99,$P104,IF($G$4=$P$99,$Q104,Q104))))))))))))))))</f>
        <v>0.5</v>
      </c>
    </row>
    <row r="116" spans="1:11" x14ac:dyDescent="0.2">
      <c r="A116" s="4" t="s">
        <v>79</v>
      </c>
      <c r="B116" s="21">
        <f>Request!$N$251</f>
        <v>0.1</v>
      </c>
      <c r="C116" s="21">
        <f>Request!$N$251</f>
        <v>0.1</v>
      </c>
      <c r="D116" s="21">
        <f>Request!$N$251</f>
        <v>0.1</v>
      </c>
      <c r="E116" s="21">
        <f>Request!$N$251</f>
        <v>0.1</v>
      </c>
      <c r="F116" s="21">
        <f>Request!$N$251</f>
        <v>0.1</v>
      </c>
      <c r="G116" s="21">
        <f>Request!$N$251</f>
        <v>0.1</v>
      </c>
      <c r="H116" s="21">
        <f>Request!$N$251</f>
        <v>0.1</v>
      </c>
      <c r="I116" s="21">
        <f>Request!$N$251</f>
        <v>0.1</v>
      </c>
      <c r="J116" s="21">
        <f>Request!$N$251</f>
        <v>0.1</v>
      </c>
      <c r="K116" s="21">
        <f>Request!$N$251</f>
        <v>0.1</v>
      </c>
    </row>
    <row r="117" spans="1:11" x14ac:dyDescent="0.2">
      <c r="A117" s="4" t="s">
        <v>73</v>
      </c>
      <c r="B117" s="4">
        <f>IF($C$4=$B$99,$B105,IF($C$4=$C$99,$C105,IF($C$4=$D$99,$D105,IF($C$4=$E$99,$E105,IF($C$4=$F$99,$F105,IF($C$4=$G$99,$G105,IF($C$4=$H$99,$H105,IF($C$4=$I$99,$I105,IF($C$4=$J$99,$J105,IF($C$4=$K$99,$K105,IF($C$4=$L$99,$L105,IF($C$4=$M$99,$M105,IF($C$4=$N$99,$N105,IF($C$4=$O$99,$O105,IF($C$4=$P$99,$P105,P105)))))))))))))))</f>
        <v>0.54400000000000004</v>
      </c>
      <c r="C117" s="4">
        <f>IF($C$7=0,$B$117,IF($C$4=$B$99,$C105,IF($C$4=$C$99,$D105,IF($C$4=$D$99,$E105,IF($C$4=$E$99,$F105,IF($C$4=$F$99,$G105,IF($C$4=$G$99,$H105,IF($C$4=$H$99,$I105,IF($C$4=$I$99,$J105,IF($C$4=$J$99,$K105,IF($C$4=$K$99,$L105,IF($C$4=$L$99,$M105,IF($C$4=$M$99,$N105,IF($C$4=$N$99,$O105,IF($C$4=$O$99,$P105,IF($C$4=$P$99,$Q105,Q105))))))))))))))))</f>
        <v>0.54400000000000004</v>
      </c>
      <c r="D117" s="4">
        <f>IF($D$4=$B$99,$B105,IF($D$4=$C$99,$C105,IF($D$4=$D$99,$D105,IF($D$4=$E$99,$E105,IF($D$4=$F$99,$F105,IF($D$4=$G$99,$G105,IF($D$4=$H$99,$H105,IF($D$4=$I$99,$I105,IF($D$4=$J$99,$J105,IF($D$4=$K$99,$K105,IF($D$4=$L$99,$L105,IF($D$4=$M$99,$M105,IF($D$4=$N$99,$N105,IF($D$4=$O$99,$O105,IF($D$4=$P$99,$P105,P105)))))))))))))))</f>
        <v>0.54400000000000004</v>
      </c>
      <c r="E117" s="4">
        <f>IF($D$7=0,$D$117,IF($D$4=$B$99,$C105,IF($D$4=$C$99,$D105,IF($D$4=$D$99,$E105,IF($D$4=$E$99,$F105,IF($D$4=$F$99,$G105,IF($D$4=$G$99,$H105,IF($D$4=$H$99,$I105,IF($D$4=$I$99,$J105,IF($D$4=$J$99,$K105,IF($D$4=$K$99,$L105,IF($D$4=$L$99,$M105,IF($D$4=$M$99,$N105,IF($D$4=$N$99,$O105,IF($D$4=$O$99,$P105,IF($D$4=$P$99,$Q105,Q105))))))))))))))))</f>
        <v>0.54400000000000004</v>
      </c>
      <c r="F117" s="4">
        <f>IF($E$4=$B$99,$B105,IF($E$4=$C$99,$C105,IF($E$4=$D$99,$D105,IF($E$4=$E$99,$E105,IF($E$4=$F$99,$F105,IF($E$4=$G$99,$G105,IF($E$4=$H$99,$H105,IF($E$4=$I$99,$I105,IF($E$4=$J$99,$J105,IF($E$4=$K$99,$K105,IF($E$4=$L$99,$L105,IF($E$4=$M$99,$M105,IF($E$4=$N$99,$N105,IF($E$4=$O$99,$O105,IF($E$4=$P$99,$P105,P105)))))))))))))))</f>
        <v>0.54400000000000004</v>
      </c>
      <c r="G117" s="4">
        <f>IF($E$7=0,$F116,IF($E$4=$B$99,$C105,IF($E$4=$C$99,$D105,IF($E$4=$D$99,$E105,IF($E$4=$E$99,$F105,IF($E$4=$F$99,$G105,IF($E$4=$G$99,$H105,IF($E$4=$H$99,$I105,IF($E$4=$I$99,$J105,IF($E$4=$J$99,$K105,IF($E$4=$K$99,$L105,IF($E$4=$L$99,$M105,IF($E$4=$M$99,$N105,IF($E$4=$N$99,$O105,IF($E$4=$O$99,$P105,IF($E$4=$P$99,$Q105,Q105))))))))))))))))</f>
        <v>0.54400000000000004</v>
      </c>
      <c r="H117" s="4">
        <f>IF($F$4=$B$99,$B105,IF($F$4=$C$99,$C105,IF($F$4=$D$99,$D105,IF($F$4=$E$99,$E105,IF($F$4=$F$99,$F105,IF($F$4=$G$99,$G105,IF($F$4=$H$99,$H105,IF($F$4=$I$99,$I105,IF($F$4=$J$99,$J105,IF($F$4=$K$99,$K105,IF($F$4=$L$99,$L105,IF($F$4=$M$99,$M105,IF($F$4=$N$99,$N105,IF($F$4=$O$99,$O105,IF($F$4=$P$99,$P105,IF($F$4=$Q$99,$Q105,Q105))))))))))))))))</f>
        <v>0.54400000000000004</v>
      </c>
      <c r="I117" s="4">
        <f>IF($F$7=0,$H116,IF($F$4=$B$99,$C105,IF($F$4=$C$99,$D105,IF($F$4=$D$99,$E105,IF($F$4=$E$99,$F105,IF($F$4=$F$99,$G105,IF($F$4=$G$99,$H105,IF($F$4=$H$99,$I105,IF($F$4=$I$99,$J105,IF($F$4=$J$99,$K105,IF($F$4=$K$99,$L105,IF($F$4=$L$99,$M105,IF($F$4=$M$99,$N105,IF($F$4=$N$99,$O105,IF($F$4=$O$99,$P105,IF($F$4=$P$99,$Q105,Q105))))))))))))))))</f>
        <v>0.54400000000000004</v>
      </c>
      <c r="J117" s="4">
        <f>IF($G$4=$B$99,$B105,IF($G$4=$C$99,$C105,IF($G$4=$D$99,$D105,IF($G$4=$E$99,$E105,IF($G$4=$F$99,$F105,IF($G$4=$G$99,$G105,IF($G$4=$H$99,$H105,IF($G$4=$I$99,$I105,IF($G$4=$J$99,$J105,IF($G$4=$K$99,$K105,IF($G$4=$L$99,$L105,IF($G$4=$M$99,$M105,IF($G$4=$N$99,$N105,IF($G$4=$O$99,$O105,IF($G$4=$P$99,$P105,IF($G$4=$Q$99,$Q105,Q105))))))))))))))))</f>
        <v>0.54400000000000004</v>
      </c>
      <c r="K117" s="4">
        <f>IF($G$7=0,$J116,IF($G$4=$B$99,$C105,IF($G$4=$C$99,$D105,IF($G$4=$D$99,$E105,IF($G$4=$E$99,$F105,IF($G$4=$F$99,$G105,IF($G$4=$G$99,$H105,IF($G$4=$H$99,$I105,IF($G$4=$I$99,$J105,IF($G$4=$J$99,$K105,IF($G$4=$K$99,$L105,IF($G$4=$L$99,$M105,IF($G$4=$M$99,$N105,IF($G$4=$N$99,$O105,IF($G$4=$O$99,$P105,IF($G$4=$P$99,$Q105,Q105))))))))))))))))</f>
        <v>0.54400000000000004</v>
      </c>
    </row>
    <row r="118" spans="1:11" x14ac:dyDescent="0.2">
      <c r="A118" s="4" t="s">
        <v>74</v>
      </c>
      <c r="B118" s="4">
        <f>IF($C$4=$B$99,$B106,IF($C$4=$C$99,$C106,IF($C$4=$D$99,$D106,IF($C$4=$E$99,$E106,IF($C$4=$F$99,$F106,IF($C$4=$G$99,$G106,IF($C$4=$H$99,$H106,IF($C$4=$I$99,$I106,IF($C$4=$J$99,$J106,IF($C$4=$K$99,$K106,IF($C$4=$L$99,$L106,IF($C$4=$M$99,$M106,IF($C$4=$N$99,$N106,IF($C$4=$O$99,$O106,IF($C$4=$P$99,$P106,P106)))))))))))))))</f>
        <v>0.89</v>
      </c>
      <c r="C118" s="4">
        <f>IF($C$7=0,$B$118,IF($C$4=$B$99,$C106,IF($C$4=$C$99,$D106,IF($C$4=$D$99,$E106,IF($C$4=$E$99,$F106,IF($C$4=$F$99,$G106,IF($C$4=$G$99,$H106,IF($C$4=$H$99,$I106,IF($C$4=$I$99,$J106,IF($C$4=$J$99,$K106,IF($C$4=$K$99,$L106,IF($C$4=$L$99,$M106,IF($C$4=$M$99,$N106,IF($C$4=$N$99,$O106,IF($C$4=$O$99,$P106,IF($C$4=$P$99,$Q106,Q106))))))))))))))))</f>
        <v>0.89</v>
      </c>
      <c r="D118" s="4">
        <f>IF($D$4=$B$99,$B106,IF($D$4=$C$99,$C106,IF($D$4=$D$99,$D106,IF($D$4=$E$99,$E106,IF($D$4=$F$99,$F106,IF($D$4=$G$99,$G106,IF($D$4=$H$99,$H106,IF($D$4=$I$99,$I106,IF($D$4=$J$99,$J106,IF($D$4=$K$99,$K106,IF($D$4=$L$99,$L106,IF($D$4=$M$99,$M106,IF($D$4=$N$99,$N106,IF($D$4=$O$99,$O106,IF($D$4=$P$99,$P106,P106)))))))))))))))</f>
        <v>0.89</v>
      </c>
      <c r="E118" s="4">
        <f>IF($D$7=0,$D$118,IF($D$4=$B$99,$C106,IF($D$4=$C$99,$D106,IF($D$4=$D$99,$E106,IF($D$4=$E$99,$F106,IF($D$4=$F$99,$G106,IF($D$4=$G$99,$H106,IF($D$4=$H$99,$I106,IF($D$4=$I$99,$J106,IF($D$4=$J$99,$K106,IF($D$4=$K$99,$L106,IF($D$4=$L$99,$M106,IF($D$4=$M$99,$N106,IF($D$4=$N$99,$O106,IF($D$4=$O$99,$P106,IF($D$4=$P$99,$Q106,Q106))))))))))))))))</f>
        <v>0.89</v>
      </c>
      <c r="F118" s="4">
        <f>IF($E$4=$B$99,$B106,IF($E$4=$C$99,$C106,IF($E$4=$D$99,$D106,IF($E$4=$E$99,$E106,IF($E$4=$F$99,$F106,IF($E$4=$G$99,$G106,IF($E$4=$H$99,$H106,IF($E$4=$I$99,$I106,IF($E$4=$J$99,$J106,IF($E$4=$K$99,$K106,IF($E$4=$L$99,$L106,IF($E$4=$M$99,$M106,IF($E$4=$N$99,$N106,IF($E$4=$O$99,$O106,IF($E$4=$P$99,$P106,P106)))))))))))))))</f>
        <v>0.89</v>
      </c>
      <c r="G118" s="4">
        <f>IF($E$7=0,$F117,IF($E$4=$B$99,$C106,IF($E$4=$C$99,$D106,IF($E$4=$D$99,$E106,IF($E$4=$E$99,$F106,IF($E$4=$F$99,$G106,IF($E$4=$G$99,$H106,IF($E$4=$H$99,$I106,IF($E$4=$I$99,$J106,IF($E$4=$J$99,$K106,IF($E$4=$K$99,$L106,IF($E$4=$L$99,$M106,IF($E$4=$M$99,$N106,IF($E$4=$N$99,$O106,IF($E$4=$O$99,$P106,IF($E$4=$P$99,$Q106,Q106))))))))))))))))</f>
        <v>0.89</v>
      </c>
      <c r="H118" s="4">
        <f>IF($F$4=$B$99,$B106,IF($F$4=$C$99,$C106,IF($F$4=$D$99,$D106,IF($F$4=$E$99,$E106,IF($F$4=$F$99,$F106,IF($F$4=$G$99,$G106,IF($F$4=$H$99,$H106,IF($F$4=$I$99,$I106,IF($F$4=$J$99,$J106,IF($F$4=$K$99,$K106,IF($F$4=$L$99,$L106,IF($F$4=$M$99,$M106,IF($F$4=$N$99,$N106,IF($F$4=$O$99,$O106,IF($F$4=$P$99,$P106,IF($F$4=$Q$99,$Q106,Q106))))))))))))))))</f>
        <v>0.89</v>
      </c>
      <c r="I118" s="4">
        <f>IF($F$7=0,$H117,IF($F$4=$B$99,$C106,IF($F$4=$C$99,$D106,IF($F$4=$D$99,$E106,IF($F$4=$E$99,$F106,IF($F$4=$F$99,$G106,IF($F$4=$G$99,$H106,IF($F$4=$H$99,$I106,IF($F$4=$I$99,$J106,IF($F$4=$J$99,$K106,IF($F$4=$K$99,$L106,IF($F$4=$L$99,$M106,IF($F$4=$M$99,$N106,IF($F$4=$N$99,$O106,IF($F$4=$O$99,$P106,IF($F$4=$P$99,$Q106,Q106))))))))))))))))</f>
        <v>0.89</v>
      </c>
      <c r="J118" s="4">
        <f>IF($G$4=$B$99,$B106,IF($G$4=$C$99,$C106,IF($G$4=$D$99,$D106,IF($G$4=$E$99,$E106,IF($G$4=$F$99,$F106,IF($G$4=$G$99,$G106,IF($G$4=$H$99,$H106,IF($G$4=$I$99,$I106,IF($G$4=$J$99,$J106,IF($G$4=$K$99,$K106,IF($G$4=$L$99,$L106,IF($G$4=$M$99,$M106,IF($G$4=$N$99,$N106,IF($G$4=$O$99,$O106,IF($G$4=$P$99,$P106,IF($G$4=$Q$99,$Q106,Q106))))))))))))))))</f>
        <v>0.89</v>
      </c>
      <c r="K118" s="4">
        <f>IF($G$7=0,$J117,IF($G$4=$B$99,$C106,IF($G$4=$C$99,$D106,IF($G$4=$D$99,$E106,IF($G$4=$E$99,$F106,IF($G$4=$F$99,$G106,IF($G$4=$G$99,$H106,IF($G$4=$H$99,$I106,IF($G$4=$I$99,$J106,IF($G$4=$J$99,$K106,IF($G$4=$K$99,$L106,IF($G$4=$L$99,$M106,IF($G$4=$M$99,$N106,IF($G$4=$N$99,$O106,IF($G$4=$O$99,$P106,IF($G$4=$P$99,$Q106,Q106))))))))))))))))</f>
        <v>0.89</v>
      </c>
    </row>
    <row r="120" spans="1:11" x14ac:dyDescent="0.2">
      <c r="A120" s="1" t="s">
        <v>87</v>
      </c>
      <c r="B120" s="315" t="s">
        <v>7</v>
      </c>
      <c r="C120" s="316"/>
      <c r="D120" s="315" t="s">
        <v>8</v>
      </c>
      <c r="E120" s="316"/>
      <c r="F120" s="315" t="s">
        <v>9</v>
      </c>
      <c r="G120" s="316"/>
      <c r="H120" s="315" t="s">
        <v>18</v>
      </c>
      <c r="I120" s="316"/>
      <c r="J120" s="315" t="s">
        <v>10</v>
      </c>
      <c r="K120" s="316"/>
    </row>
    <row r="121" spans="1:11" x14ac:dyDescent="0.2">
      <c r="B121" s="11" t="s">
        <v>36</v>
      </c>
      <c r="C121" s="11" t="s">
        <v>37</v>
      </c>
      <c r="D121" s="11" t="s">
        <v>36</v>
      </c>
      <c r="E121" s="11" t="s">
        <v>37</v>
      </c>
      <c r="F121" s="11" t="s">
        <v>36</v>
      </c>
      <c r="G121" s="11" t="s">
        <v>37</v>
      </c>
      <c r="H121" s="11" t="s">
        <v>36</v>
      </c>
      <c r="I121" s="11" t="s">
        <v>37</v>
      </c>
      <c r="J121" s="11" t="s">
        <v>36</v>
      </c>
      <c r="K121" s="11" t="s">
        <v>37</v>
      </c>
    </row>
    <row r="122" spans="1:11" x14ac:dyDescent="0.2">
      <c r="B122" s="94">
        <f>IF(Request!H249=Worksheet!A111,Worksheet!B111,IF(Request!H249=Worksheet!A112,Worksheet!B112,IF(Request!H249=Worksheet!A113,Worksheet!B113,IF(Request!H249=Worksheet!A114,Worksheet!B114,IF(Request!H249=Worksheet!A115,Worksheet!B115,IF(Request!H249=Worksheet!A116,Worksheet!B116))))))</f>
        <v>0.56999999999999995</v>
      </c>
      <c r="C122" s="31">
        <f>IF(Request!H249=Worksheet!A111,Worksheet!C111,IF(Request!H249=Worksheet!A112,Worksheet!C112,IF(Request!H249=Worksheet!A113,Worksheet!C113,IF(Request!H249=Worksheet!A114,Worksheet!C114,IF(Request!H249=Worksheet!A115,Worksheet!C115,IF(Request!H249=Worksheet!A116,Worksheet!C116))))))</f>
        <v>0.56999999999999995</v>
      </c>
      <c r="D122" s="31">
        <f>IF(Request!$H$249=Worksheet!$A$111,Worksheet!D111,IF(Request!$H$249=Worksheet!$A$112,Worksheet!D112,IF(Request!$H$249=Worksheet!$A$113,Worksheet!D113,IF(Request!$H$249=Worksheet!$A$114,Worksheet!D114,IF(Request!$H$249=Worksheet!$A$115,Worksheet!D115,IF(Request!$H$249=Worksheet!$A$116,Worksheet!D116))))))</f>
        <v>0.56999999999999995</v>
      </c>
      <c r="E122" s="31">
        <f>IF(Request!$H$249=Worksheet!$A$111,Worksheet!E111,IF(Request!$H$249=Worksheet!$A$112,Worksheet!E112,IF(Request!$H$249=Worksheet!$A$113,Worksheet!E113,IF(Request!$H$249=Worksheet!$A$114,Worksheet!E114,IF(Request!$H$249=Worksheet!$A$115,Worksheet!E115,IF(Request!$H$249=Worksheet!$A$116,Worksheet!E116))))))</f>
        <v>0.56999999999999995</v>
      </c>
      <c r="F122" s="31">
        <f>IF(Request!$H$249=Worksheet!$A$111,Worksheet!F111,IF(Request!$H$249=Worksheet!$A$112,Worksheet!F112,IF(Request!$H$249=Worksheet!$A$113,Worksheet!F113,IF(Request!$H$249=Worksheet!$A$114,Worksheet!F114,IF(Request!$H$249=Worksheet!$A$115,Worksheet!F115,IF(Request!$H$249=Worksheet!$A$116,Worksheet!F116))))))</f>
        <v>0.56999999999999995</v>
      </c>
      <c r="G122" s="31">
        <f>IF(Request!$H$249=Worksheet!$A$111,Worksheet!G111,IF(Request!$H$249=Worksheet!$A$112,Worksheet!G112,IF(Request!$H$249=Worksheet!$A$113,Worksheet!G113,IF(Request!$H$249=Worksheet!$A$114,Worksheet!G114,IF(Request!$H$249=Worksheet!$A$115,Worksheet!G115,IF(Request!$H$249=Worksheet!$A$116,Worksheet!G116))))))</f>
        <v>0.56999999999999995</v>
      </c>
      <c r="H122" s="31">
        <f>IF(Request!$H$249=Worksheet!$A$111,Worksheet!H111,IF(Request!$H$249=Worksheet!$A$112,Worksheet!H112,IF(Request!$H$249=Worksheet!$A$113,Worksheet!H113,IF(Request!$H$249=Worksheet!$A$114,Worksheet!H114,IF(Request!$H$249=Worksheet!$A$115,Worksheet!H115,IF(Request!$H$249=Worksheet!$A$116,Worksheet!H116))))))</f>
        <v>0.56999999999999995</v>
      </c>
      <c r="I122" s="31">
        <f>IF(Request!$H$249=Worksheet!$A$111,Worksheet!I111,IF(Request!$H$249=Worksheet!$A$112,Worksheet!I112,IF(Request!$H$249=Worksheet!$A$113,Worksheet!I113,IF(Request!$H$249=Worksheet!$A$114,Worksheet!I114,IF(Request!$H$249=Worksheet!$A$115,Worksheet!I115,IF(Request!$H$249=Worksheet!$A$116,I116))))))</f>
        <v>0.56999999999999995</v>
      </c>
      <c r="J122" s="31">
        <f>IF(Request!$H$249=Worksheet!$A$111,Worksheet!J111,IF(Request!$H$249=Worksheet!$A$112,Worksheet!J112,IF(Request!$H$249=Worksheet!$A$113,Worksheet!J113,IF(Request!$H$249=Worksheet!$A$114,Worksheet!J114,IF(Request!$H$249=Worksheet!$A$115,Worksheet!J115,IF(Request!$H$249=Worksheet!$A$116,Worksheet!J116))))))</f>
        <v>0.56999999999999995</v>
      </c>
      <c r="K122" s="31">
        <f>IF(Request!$H$249=Worksheet!$A$111,Worksheet!K111,IF(Request!$H$249=Worksheet!$A$112,Worksheet!K112,IF(Request!$H$249=Worksheet!$A$113,Worksheet!K113,IF(Request!$H$249=Worksheet!$A$114,Worksheet!K114,IF(Request!$H$249=Worksheet!$A$115,Worksheet!K115,IF(Request!$H$249=Worksheet!$A$116,Worksheet!K116))))))</f>
        <v>0.56999999999999995</v>
      </c>
    </row>
    <row r="123" spans="1:11" x14ac:dyDescent="0.2">
      <c r="A123" s="1" t="s">
        <v>88</v>
      </c>
      <c r="B123" s="319" t="s">
        <v>7</v>
      </c>
      <c r="C123" s="319"/>
      <c r="D123" s="319" t="s">
        <v>8</v>
      </c>
      <c r="E123" s="319"/>
      <c r="F123" s="319" t="s">
        <v>9</v>
      </c>
      <c r="G123" s="319"/>
      <c r="H123" s="317" t="s">
        <v>18</v>
      </c>
      <c r="I123" s="318"/>
      <c r="J123" s="320" t="s">
        <v>10</v>
      </c>
      <c r="K123" s="321"/>
    </row>
    <row r="124" spans="1:11" x14ac:dyDescent="0.2">
      <c r="B124" s="324" t="str">
        <f>IF(B122=C122,B122*100&amp;"%",B122*100&amp;"%"&amp;"/"&amp;C122*100&amp;"%")</f>
        <v>57%</v>
      </c>
      <c r="C124" s="324"/>
      <c r="D124" s="324" t="str">
        <f>IF(D122=E122,D122*100&amp;"%",D122*100&amp;"%"&amp;"/"&amp;E122*100&amp;"%")</f>
        <v>57%</v>
      </c>
      <c r="E124" s="324"/>
      <c r="F124" s="324" t="str">
        <f>IF(F122=G122,F122*100&amp;"%",F122*100&amp;"%"&amp;"/"&amp;G122*100&amp;"%")</f>
        <v>57%</v>
      </c>
      <c r="G124" s="324"/>
      <c r="H124" s="317" t="str">
        <f>IF(H122=I122,H122*100&amp;"%",H122*100&amp;"%"&amp;"/"&amp;I122*100&amp;"%")</f>
        <v>57%</v>
      </c>
      <c r="I124" s="318"/>
      <c r="J124" s="317" t="str">
        <f>IF(J122=K122,J122*100&amp;"%",J122*100&amp;"%"&amp;"/"&amp;K122*100&amp;"%")</f>
        <v>57%</v>
      </c>
      <c r="K124" s="318"/>
    </row>
    <row r="125" spans="1:11" x14ac:dyDescent="0.2">
      <c r="H125" s="32"/>
    </row>
    <row r="128" spans="1:11" x14ac:dyDescent="0.2">
      <c r="A128" s="9" t="s">
        <v>89</v>
      </c>
      <c r="B128" s="4" t="s">
        <v>90</v>
      </c>
      <c r="C128" s="9" t="s">
        <v>7</v>
      </c>
      <c r="D128" s="9" t="s">
        <v>8</v>
      </c>
      <c r="E128" s="9" t="s">
        <v>9</v>
      </c>
      <c r="F128" s="9" t="s">
        <v>18</v>
      </c>
      <c r="G128" s="9" t="s">
        <v>10</v>
      </c>
      <c r="H128" s="9" t="s">
        <v>11</v>
      </c>
    </row>
    <row r="129" spans="1:8" x14ac:dyDescent="0.2">
      <c r="A129" s="34">
        <f>Request!B156</f>
        <v>0</v>
      </c>
      <c r="B129" s="4" t="str">
        <f>IF(Request!M156="non-UC","No","Yes")</f>
        <v>No</v>
      </c>
      <c r="C129" s="4">
        <f>Request!P156+(IF(Request!$M157="IC of Above",Request!P157,0))</f>
        <v>0</v>
      </c>
      <c r="D129" s="4">
        <f>Request!Q156+(IF(Request!$M157="IC of Above",Request!Q157,0))</f>
        <v>0</v>
      </c>
      <c r="E129" s="4">
        <f>Request!R156+(IF(Request!$M157="IC of Above",Request!R157,0))</f>
        <v>0</v>
      </c>
      <c r="F129" s="4">
        <f>Request!S156+(IF(Request!$M157="IC of Above",Request!S157,0))</f>
        <v>0</v>
      </c>
      <c r="G129" s="4">
        <f>Request!T156+(IF(Request!$M157="IC of Above",Request!T157,0))</f>
        <v>0</v>
      </c>
      <c r="H129" s="4">
        <f t="shared" ref="H129:H155" si="9">SUM(C129:G129)</f>
        <v>0</v>
      </c>
    </row>
    <row r="130" spans="1:8" x14ac:dyDescent="0.2">
      <c r="A130" s="34">
        <f>Request!B157</f>
        <v>0</v>
      </c>
      <c r="B130" s="4" t="str">
        <f>IF(Request!M157="non-UC","No","Yes")</f>
        <v>No</v>
      </c>
      <c r="C130" s="4">
        <f>IF(Request!$M157="IC of Above",0,Request!P157+IF(Request!$M158="IC of Above",Request!P158,0))</f>
        <v>0</v>
      </c>
      <c r="D130" s="4">
        <f>IF(Request!$M157="IC of Above",0,Request!Q157+IF(Request!$M158="IC of Above",Request!Q158,0))</f>
        <v>0</v>
      </c>
      <c r="E130" s="4">
        <f>IF(Request!$M157="IC of Above",0,Request!R157+IF(Request!$M158="IC of Above",Request!R158,0))</f>
        <v>0</v>
      </c>
      <c r="F130" s="4">
        <f>IF(Request!$M157="IC of Above",0,Request!S157+IF(Request!$M158="IC of Above",Request!S158,0))</f>
        <v>0</v>
      </c>
      <c r="G130" s="4">
        <f>IF(Request!$M157="IC of Above",0,Request!T157+IF(Request!$M158="IC of Above",Request!T158,0))</f>
        <v>0</v>
      </c>
      <c r="H130" s="4">
        <f t="shared" si="9"/>
        <v>0</v>
      </c>
    </row>
    <row r="131" spans="1:8" x14ac:dyDescent="0.2">
      <c r="A131" s="34">
        <f>Request!B170</f>
        <v>0</v>
      </c>
      <c r="B131" s="4" t="str">
        <f>IF(Request!M158="non-UC","No","Yes")</f>
        <v>No</v>
      </c>
      <c r="C131" s="4">
        <f>IF(Request!$M158="IC of Above",0,Request!P158+IF(Request!$M159="IC of Above",Request!P159,0))</f>
        <v>0</v>
      </c>
      <c r="D131" s="4">
        <f>IF(Request!$M158="IC of Above",0,Request!Q158+IF(Request!$M159="IC of Above",Request!Q159,0))</f>
        <v>0</v>
      </c>
      <c r="E131" s="4">
        <f>IF(Request!$M158="IC of Above",0,Request!R158+IF(Request!$M159="IC of Above",Request!R159,0))</f>
        <v>0</v>
      </c>
      <c r="F131" s="4">
        <f>IF(Request!$M158="IC of Above",0,Request!S158+IF(Request!$M159="IC of Above",Request!S159,0))</f>
        <v>0</v>
      </c>
      <c r="G131" s="4">
        <f>IF(Request!$M158="IC of Above",0,Request!T158+IF(Request!$M159="IC of Above",Request!T159,0))</f>
        <v>0</v>
      </c>
      <c r="H131" s="4">
        <f t="shared" si="9"/>
        <v>0</v>
      </c>
    </row>
    <row r="132" spans="1:8" x14ac:dyDescent="0.2">
      <c r="A132" s="34">
        <f>Request!B171</f>
        <v>0</v>
      </c>
      <c r="B132" s="4" t="str">
        <f>IF(Request!M159="non-UC","No","Yes")</f>
        <v>No</v>
      </c>
      <c r="C132" s="4">
        <f>IF(Request!$M159="IC of Above",0,Request!P159+IF(Request!$M160="IC of Above",Request!P160,0))</f>
        <v>0</v>
      </c>
      <c r="D132" s="4">
        <f>IF(Request!$M159="IC of Above",0,Request!Q159+IF(Request!$M160="IC of Above",Request!Q160,0))</f>
        <v>0</v>
      </c>
      <c r="E132" s="4">
        <f>IF(Request!$M159="IC of Above",0,Request!R159+IF(Request!$M160="IC of Above",Request!R160,0))</f>
        <v>0</v>
      </c>
      <c r="F132" s="4">
        <f>IF(Request!$M159="IC of Above",0,Request!S159+IF(Request!$M160="IC of Above",Request!S160,0))</f>
        <v>0</v>
      </c>
      <c r="G132" s="4">
        <f>IF(Request!$M159="IC of Above",0,Request!T159+IF(Request!$M160="IC of Above",Request!T160,0))</f>
        <v>0</v>
      </c>
      <c r="H132" s="4">
        <f t="shared" si="9"/>
        <v>0</v>
      </c>
    </row>
    <row r="133" spans="1:8" x14ac:dyDescent="0.2">
      <c r="A133" s="34">
        <f>Request!B172</f>
        <v>0</v>
      </c>
      <c r="B133" s="4" t="str">
        <f>IF(Request!M160="non-UC","No","Yes")</f>
        <v>No</v>
      </c>
      <c r="C133" s="4">
        <f>IF(Request!$M160="IC of Above",0,Request!P160+IF(Request!$M161="IC of Above",Request!P161,0))</f>
        <v>0</v>
      </c>
      <c r="D133" s="4">
        <f>IF(Request!$M160="IC of Above",0,Request!Q160+IF(Request!$M161="IC of Above",Request!Q161,0))</f>
        <v>0</v>
      </c>
      <c r="E133" s="4">
        <f>IF(Request!$M160="IC of Above",0,Request!R160+IF(Request!$M161="IC of Above",Request!R161,0))</f>
        <v>0</v>
      </c>
      <c r="F133" s="4">
        <f>IF(Request!$M160="IC of Above",0,Request!S160+IF(Request!$M161="IC of Above",Request!S161,0))</f>
        <v>0</v>
      </c>
      <c r="G133" s="4">
        <f>IF(Request!$M160="IC of Above",0,Request!T160+IF(Request!$M161="IC of Above",Request!T161,0))</f>
        <v>0</v>
      </c>
      <c r="H133" s="4">
        <f t="shared" si="9"/>
        <v>0</v>
      </c>
    </row>
    <row r="134" spans="1:8" x14ac:dyDescent="0.2">
      <c r="A134" s="34">
        <f>Request!B173</f>
        <v>0</v>
      </c>
      <c r="B134" s="4" t="str">
        <f>IF(Request!M161="non-UC","No","Yes")</f>
        <v>No</v>
      </c>
      <c r="C134" s="4">
        <f>IF(Request!$M161="IC of Above",0,Request!P161+IF(Request!$M162="IC of Above",Request!P162,0))</f>
        <v>0</v>
      </c>
      <c r="D134" s="4">
        <f>IF(Request!$M161="IC of Above",0,Request!Q161+IF(Request!$M162="IC of Above",Request!Q162,0))</f>
        <v>0</v>
      </c>
      <c r="E134" s="4">
        <f>IF(Request!$M161="IC of Above",0,Request!R161+IF(Request!$M162="IC of Above",Request!R162,0))</f>
        <v>0</v>
      </c>
      <c r="F134" s="4">
        <f>IF(Request!$M161="IC of Above",0,Request!S161+IF(Request!$M162="IC of Above",Request!S162,0))</f>
        <v>0</v>
      </c>
      <c r="G134" s="4">
        <f>IF(Request!$M161="IC of Above",0,Request!T161+IF(Request!$M162="IC of Above",Request!T162,0))</f>
        <v>0</v>
      </c>
      <c r="H134" s="4">
        <f t="shared" si="9"/>
        <v>0</v>
      </c>
    </row>
    <row r="135" spans="1:8" x14ac:dyDescent="0.2">
      <c r="A135" s="34">
        <f>Request!B174</f>
        <v>0</v>
      </c>
      <c r="B135" s="4" t="str">
        <f>IF(Request!M162="non-UC","No","Yes")</f>
        <v>No</v>
      </c>
      <c r="C135" s="4">
        <f>IF(Request!$M162="IC of Above",0,Request!P162+IF(Request!$M163="IC of Above",Request!P163,0))</f>
        <v>0</v>
      </c>
      <c r="D135" s="4">
        <f>IF(Request!$M162="IC of Above",0,Request!Q162+IF(Request!$M163="IC of Above",Request!Q163,0))</f>
        <v>0</v>
      </c>
      <c r="E135" s="4">
        <f>IF(Request!$M162="IC of Above",0,Request!R162+IF(Request!$M163="IC of Above",Request!R163,0))</f>
        <v>0</v>
      </c>
      <c r="F135" s="4">
        <f>IF(Request!$M162="IC of Above",0,Request!S162+IF(Request!$M163="IC of Above",Request!S163,0))</f>
        <v>0</v>
      </c>
      <c r="G135" s="4">
        <f>IF(Request!$M162="IC of Above",0,Request!T162+IF(Request!$M163="IC of Above",Request!T163,0))</f>
        <v>0</v>
      </c>
      <c r="H135" s="4">
        <f t="shared" si="9"/>
        <v>0</v>
      </c>
    </row>
    <row r="136" spans="1:8" x14ac:dyDescent="0.2">
      <c r="A136" s="34">
        <f>Request!B175</f>
        <v>0</v>
      </c>
      <c r="B136" s="4" t="str">
        <f>IF(Request!M163="non-UC","No","Yes")</f>
        <v>No</v>
      </c>
      <c r="C136" s="4">
        <f>IF(Request!$M163="IC of Above",0,Request!P163+IF(Request!$M164="IC of Above",Request!P164,0))</f>
        <v>0</v>
      </c>
      <c r="D136" s="4">
        <f>IF(Request!$M163="IC of Above",0,Request!Q163+IF(Request!$M164="IC of Above",Request!Q164,0))</f>
        <v>0</v>
      </c>
      <c r="E136" s="4">
        <f>IF(Request!$M163="IC of Above",0,Request!R163+IF(Request!$M164="IC of Above",Request!R164,0))</f>
        <v>0</v>
      </c>
      <c r="F136" s="4">
        <f>IF(Request!$M163="IC of Above",0,Request!S163+IF(Request!$M164="IC of Above",Request!S164,0))</f>
        <v>0</v>
      </c>
      <c r="G136" s="4">
        <f>IF(Request!$M163="IC of Above",0,Request!T163+IF(Request!$M164="IC of Above",Request!T164,0))</f>
        <v>0</v>
      </c>
      <c r="H136" s="4">
        <f t="shared" si="9"/>
        <v>0</v>
      </c>
    </row>
    <row r="137" spans="1:8" x14ac:dyDescent="0.2">
      <c r="A137" s="34">
        <f>Request!B176</f>
        <v>0</v>
      </c>
      <c r="B137" s="4" t="str">
        <f>IF(Request!M164="non-UC","No","Yes")</f>
        <v>No</v>
      </c>
      <c r="C137" s="4">
        <f>IF(Request!$M164="IC of Above",0,Request!P164+IF(Request!$M165="IC of Above",Request!P165,0))</f>
        <v>0</v>
      </c>
      <c r="D137" s="4">
        <f>IF(Request!$M164="IC of Above",0,Request!Q164+IF(Request!$M165="IC of Above",Request!Q165,0))</f>
        <v>0</v>
      </c>
      <c r="E137" s="4">
        <f>IF(Request!$M164="IC of Above",0,Request!R164+IF(Request!$M165="IC of Above",Request!R165,0))</f>
        <v>0</v>
      </c>
      <c r="F137" s="4">
        <f>IF(Request!$M164="IC of Above",0,Request!S164+IF(Request!$M165="IC of Above",Request!S165,0))</f>
        <v>0</v>
      </c>
      <c r="G137" s="4">
        <f>IF(Request!$M164="IC of Above",0,Request!T164+IF(Request!$M165="IC of Above",Request!T165,0))</f>
        <v>0</v>
      </c>
      <c r="H137" s="4">
        <f t="shared" si="9"/>
        <v>0</v>
      </c>
    </row>
    <row r="138" spans="1:8" x14ac:dyDescent="0.2">
      <c r="A138" s="34">
        <f>Request!B177</f>
        <v>0</v>
      </c>
      <c r="B138" s="4" t="str">
        <f>IF(Request!M165="non-UC","No","Yes")</f>
        <v>No</v>
      </c>
      <c r="C138" s="4">
        <f>IF(Request!$M165="IC of Above",0,Request!P165+IF(Request!$M166="IC of Above",Request!P166,0))</f>
        <v>0</v>
      </c>
      <c r="D138" s="4">
        <f>IF(Request!$M165="IC of Above",0,Request!Q165+IF(Request!$M166="IC of Above",Request!Q166,0))</f>
        <v>0</v>
      </c>
      <c r="E138" s="4">
        <f>IF(Request!$M165="IC of Above",0,Request!R165+IF(Request!$M166="IC of Above",Request!R166,0))</f>
        <v>0</v>
      </c>
      <c r="F138" s="4">
        <f>IF(Request!$M165="IC of Above",0,Request!S165+IF(Request!$M166="IC of Above",Request!S166,0))</f>
        <v>0</v>
      </c>
      <c r="G138" s="4">
        <f>IF(Request!$M165="IC of Above",0,Request!T165+IF(Request!$M166="IC of Above",Request!T166,0))</f>
        <v>0</v>
      </c>
      <c r="H138" s="4">
        <f t="shared" si="9"/>
        <v>0</v>
      </c>
    </row>
    <row r="139" spans="1:8" x14ac:dyDescent="0.2">
      <c r="A139" s="34">
        <f>Request!B178</f>
        <v>0</v>
      </c>
      <c r="B139" s="4" t="str">
        <f>IF(Request!M166="non-UC","No","Yes")</f>
        <v>No</v>
      </c>
      <c r="C139" s="4">
        <f>IF(Request!$M166="IC of Above",0,Request!P166+IF(Request!$M167="IC of Above",Request!P167,0))</f>
        <v>0</v>
      </c>
      <c r="D139" s="4">
        <f>IF(Request!$M166="IC of Above",0,Request!Q166+IF(Request!$M167="IC of Above",Request!Q167,0))</f>
        <v>0</v>
      </c>
      <c r="E139" s="4">
        <f>IF(Request!$M166="IC of Above",0,Request!R166+IF(Request!$M167="IC of Above",Request!R167,0))</f>
        <v>0</v>
      </c>
      <c r="F139" s="4">
        <f>IF(Request!$M166="IC of Above",0,Request!S166+IF(Request!$M167="IC of Above",Request!S167,0))</f>
        <v>0</v>
      </c>
      <c r="G139" s="4">
        <f>IF(Request!$M166="IC of Above",0,Request!T166+IF(Request!$M167="IC of Above",Request!T167,0))</f>
        <v>0</v>
      </c>
      <c r="H139" s="4">
        <f t="shared" si="9"/>
        <v>0</v>
      </c>
    </row>
    <row r="140" spans="1:8" x14ac:dyDescent="0.2">
      <c r="A140" s="34">
        <f>Request!B179</f>
        <v>0</v>
      </c>
      <c r="B140" s="4" t="str">
        <f>IF(Request!M167="non-UC","No","Yes")</f>
        <v>No</v>
      </c>
      <c r="C140" s="4">
        <f>IF(Request!$M167="IC of Above",0,Request!P167+IF(Request!$M168="IC of Above",Request!P168,0))</f>
        <v>0</v>
      </c>
      <c r="D140" s="4">
        <f>IF(Request!$M167="IC of Above",0,Request!Q167+IF(Request!$M168="IC of Above",Request!Q168,0))</f>
        <v>0</v>
      </c>
      <c r="E140" s="4">
        <f>IF(Request!$M167="IC of Above",0,Request!R167+IF(Request!$M168="IC of Above",Request!R168,0))</f>
        <v>0</v>
      </c>
      <c r="F140" s="4">
        <f>IF(Request!$M167="IC of Above",0,Request!S167+IF(Request!$M168="IC of Above",Request!S168,0))</f>
        <v>0</v>
      </c>
      <c r="G140" s="4">
        <f>IF(Request!$M167="IC of Above",0,Request!T167+IF(Request!$M168="IC of Above",Request!T168,0))</f>
        <v>0</v>
      </c>
      <c r="H140" s="4">
        <f t="shared" si="9"/>
        <v>0</v>
      </c>
    </row>
    <row r="141" spans="1:8" x14ac:dyDescent="0.2">
      <c r="A141" s="34">
        <f>Request!B180</f>
        <v>0</v>
      </c>
      <c r="B141" s="4" t="str">
        <f>IF(Request!M168="non-UC","No","Yes")</f>
        <v>No</v>
      </c>
      <c r="C141" s="4">
        <f>IF(Request!$M168="IC of Above",0,Request!P168+IF(Request!$M169="IC of Above",Request!P169,0))</f>
        <v>0</v>
      </c>
      <c r="D141" s="4">
        <f>IF(Request!$M168="IC of Above",0,Request!Q168+IF(Request!$M169="IC of Above",Request!Q169,0))</f>
        <v>0</v>
      </c>
      <c r="E141" s="4">
        <f>IF(Request!$M168="IC of Above",0,Request!R168+IF(Request!$M169="IC of Above",Request!R169,0))</f>
        <v>0</v>
      </c>
      <c r="F141" s="4">
        <f>IF(Request!$M168="IC of Above",0,Request!S168+IF(Request!$M169="IC of Above",Request!S169,0))</f>
        <v>0</v>
      </c>
      <c r="G141" s="4">
        <f>IF(Request!$M168="IC of Above",0,Request!T168+IF(Request!$M169="IC of Above",Request!T169,0))</f>
        <v>0</v>
      </c>
      <c r="H141" s="4">
        <f t="shared" si="9"/>
        <v>0</v>
      </c>
    </row>
    <row r="142" spans="1:8" x14ac:dyDescent="0.2">
      <c r="A142" s="34">
        <f>Request!B181</f>
        <v>0</v>
      </c>
      <c r="B142" s="4" t="str">
        <f>IF(Request!M169="non-UC","No","Yes")</f>
        <v>No</v>
      </c>
      <c r="C142" s="4">
        <f>IF(Request!$M169="IC of Above",0,Request!P169+IF(Request!$M170="IC of Above",Request!P170,0))</f>
        <v>0</v>
      </c>
      <c r="D142" s="4">
        <f>IF(Request!$M169="IC of Above",0,Request!Q169+IF(Request!$M170="IC of Above",Request!Q170,0))</f>
        <v>0</v>
      </c>
      <c r="E142" s="4">
        <f>IF(Request!$M169="IC of Above",0,Request!R169+IF(Request!$M170="IC of Above",Request!R170,0))</f>
        <v>0</v>
      </c>
      <c r="F142" s="4">
        <f>IF(Request!$M169="IC of Above",0,Request!S169+IF(Request!$M170="IC of Above",Request!S170,0))</f>
        <v>0</v>
      </c>
      <c r="G142" s="4">
        <f>IF(Request!$M169="IC of Above",0,Request!T169+IF(Request!$M170="IC of Above",Request!T170,0))</f>
        <v>0</v>
      </c>
      <c r="H142" s="4">
        <f t="shared" si="9"/>
        <v>0</v>
      </c>
    </row>
    <row r="143" spans="1:8" x14ac:dyDescent="0.2">
      <c r="A143" s="34">
        <f>Request!B182</f>
        <v>0</v>
      </c>
      <c r="B143" s="4" t="str">
        <f>IF(Request!M170="non-UC","No","Yes")</f>
        <v>No</v>
      </c>
      <c r="C143" s="4">
        <f>IF(Request!$M170="IC of Above",0,Request!P170+IF(Request!$M171="IC of Above",Request!P171,0))</f>
        <v>0</v>
      </c>
      <c r="D143" s="4">
        <f>IF(Request!$M170="IC of Above",0,Request!Q170+IF(Request!$M171="IC of Above",Request!Q171,0))</f>
        <v>0</v>
      </c>
      <c r="E143" s="4">
        <f>IF(Request!$M170="IC of Above",0,Request!R170+IF(Request!$M171="IC of Above",Request!R171,0))</f>
        <v>0</v>
      </c>
      <c r="F143" s="4">
        <f>IF(Request!$M170="IC of Above",0,Request!S170+IF(Request!$M171="IC of Above",Request!S171,0))</f>
        <v>0</v>
      </c>
      <c r="G143" s="4">
        <f>IF(Request!$M170="IC of Above",0,Request!T170+IF(Request!$M171="IC of Above",Request!T171,0))</f>
        <v>0</v>
      </c>
      <c r="H143" s="4">
        <f t="shared" si="9"/>
        <v>0</v>
      </c>
    </row>
    <row r="144" spans="1:8" x14ac:dyDescent="0.2">
      <c r="A144" s="34">
        <f>Request!B183</f>
        <v>0</v>
      </c>
      <c r="B144" s="4" t="str">
        <f>IF(Request!M171="non-UC","No","Yes")</f>
        <v>No</v>
      </c>
      <c r="C144" s="4">
        <f>IF(Request!$M171="IC of Above",0,Request!P171+IF(Request!$M172="IC of Above",Request!P172,0))</f>
        <v>0</v>
      </c>
      <c r="D144" s="4">
        <f>IF(Request!$M171="IC of Above",0,Request!Q171+IF(Request!$M172="IC of Above",Request!Q172,0))</f>
        <v>0</v>
      </c>
      <c r="E144" s="4">
        <f>IF(Request!$M171="IC of Above",0,Request!R171+IF(Request!$M172="IC of Above",Request!R172,0))</f>
        <v>0</v>
      </c>
      <c r="F144" s="4">
        <f>IF(Request!$M171="IC of Above",0,Request!S171+IF(Request!$M172="IC of Above",Request!S172,0))</f>
        <v>0</v>
      </c>
      <c r="G144" s="4">
        <f>IF(Request!$M171="IC of Above",0,Request!T171+IF(Request!$M172="IC of Above",Request!T172,0))</f>
        <v>0</v>
      </c>
      <c r="H144" s="4">
        <f t="shared" si="9"/>
        <v>0</v>
      </c>
    </row>
    <row r="145" spans="1:8" x14ac:dyDescent="0.2">
      <c r="A145" s="34">
        <f>Request!B184</f>
        <v>0</v>
      </c>
      <c r="B145" s="4" t="str">
        <f>IF(Request!M172="non-UC","No","Yes")</f>
        <v>No</v>
      </c>
      <c r="C145" s="4">
        <f>IF(Request!$M172="IC of Above",0,Request!P172+IF(Request!$M173="IC of Above",Request!P173,0))</f>
        <v>0</v>
      </c>
      <c r="D145" s="4">
        <f>IF(Request!$M172="IC of Above",0,Request!Q172+IF(Request!$M173="IC of Above",Request!Q173,0))</f>
        <v>0</v>
      </c>
      <c r="E145" s="4">
        <f>IF(Request!$M172="IC of Above",0,Request!R172+IF(Request!$M173="IC of Above",Request!R173,0))</f>
        <v>0</v>
      </c>
      <c r="F145" s="4">
        <f>IF(Request!$M172="IC of Above",0,Request!S172+IF(Request!$M173="IC of Above",Request!S173,0))</f>
        <v>0</v>
      </c>
      <c r="G145" s="4">
        <f>IF(Request!$M172="IC of Above",0,Request!T172+IF(Request!$M173="IC of Above",Request!T173,0))</f>
        <v>0</v>
      </c>
      <c r="H145" s="4">
        <f t="shared" si="9"/>
        <v>0</v>
      </c>
    </row>
    <row r="146" spans="1:8" x14ac:dyDescent="0.2">
      <c r="A146" s="34">
        <f>Request!B173</f>
        <v>0</v>
      </c>
      <c r="B146" s="4" t="str">
        <f>IF(Request!M173="non-UC","No","Yes")</f>
        <v>No</v>
      </c>
      <c r="C146" s="4">
        <f>IF(Request!$M173="IC of Above",0,Request!P173+IF(Request!$M174="IC of Above",Request!P174,0))</f>
        <v>0</v>
      </c>
      <c r="D146" s="4">
        <f>IF(Request!$M173="IC of Above",0,Request!Q173+IF(Request!$M174="IC of Above",Request!Q174,0))</f>
        <v>0</v>
      </c>
      <c r="E146" s="4">
        <f>IF(Request!$M173="IC of Above",0,Request!R173+IF(Request!$M174="IC of Above",Request!R174,0))</f>
        <v>0</v>
      </c>
      <c r="F146" s="4">
        <f>IF(Request!$M173="IC of Above",0,Request!S173+IF(Request!$M174="IC of Above",Request!S174,0))</f>
        <v>0</v>
      </c>
      <c r="G146" s="4">
        <f>IF(Request!$M173="IC of Above",0,Request!T173+IF(Request!$M174="IC of Above",Request!T174,0))</f>
        <v>0</v>
      </c>
      <c r="H146" s="4">
        <f t="shared" si="9"/>
        <v>0</v>
      </c>
    </row>
    <row r="147" spans="1:8" x14ac:dyDescent="0.2">
      <c r="A147" s="34">
        <f>Request!B174</f>
        <v>0</v>
      </c>
      <c r="B147" s="4" t="str">
        <f>IF(Request!M174="non-UC","No","Yes")</f>
        <v>No</v>
      </c>
      <c r="C147" s="4">
        <f>IF(Request!$M174="IC of Above",0,Request!P174+IF(Request!$M175="IC of Above",Request!P175,0))</f>
        <v>0</v>
      </c>
      <c r="D147" s="4">
        <f>IF(Request!$M174="IC of Above",0,Request!Q174+IF(Request!$M175="IC of Above",Request!Q175,0))</f>
        <v>0</v>
      </c>
      <c r="E147" s="4">
        <f>IF(Request!$M174="IC of Above",0,Request!R174+IF(Request!$M175="IC of Above",Request!R175,0))</f>
        <v>0</v>
      </c>
      <c r="F147" s="4">
        <f>IF(Request!$M174="IC of Above",0,Request!S174+IF(Request!$M175="IC of Above",Request!S175,0))</f>
        <v>0</v>
      </c>
      <c r="G147" s="4">
        <f>IF(Request!$M174="IC of Above",0,Request!T174+IF(Request!$M175="IC of Above",Request!T175,0))</f>
        <v>0</v>
      </c>
      <c r="H147" s="4">
        <f t="shared" si="9"/>
        <v>0</v>
      </c>
    </row>
    <row r="148" spans="1:8" x14ac:dyDescent="0.2">
      <c r="A148" s="34">
        <f>Request!B175</f>
        <v>0</v>
      </c>
      <c r="B148" s="4" t="str">
        <f>IF(Request!M175="non-UC","No","Yes")</f>
        <v>No</v>
      </c>
      <c r="C148" s="4">
        <f>IF(Request!$M175="IC of Above",0,Request!P175+IF(Request!$M176="IC of Above",Request!P176,0))</f>
        <v>0</v>
      </c>
      <c r="D148" s="4">
        <f>IF(Request!$M175="IC of Above",0,Request!Q175+IF(Request!$M176="IC of Above",Request!Q176,0))</f>
        <v>0</v>
      </c>
      <c r="E148" s="4">
        <f>IF(Request!$M175="IC of Above",0,Request!R175+IF(Request!$M176="IC of Above",Request!R176,0))</f>
        <v>0</v>
      </c>
      <c r="F148" s="4">
        <f>IF(Request!$M175="IC of Above",0,Request!S175+IF(Request!$M176="IC of Above",Request!S176,0))</f>
        <v>0</v>
      </c>
      <c r="G148" s="4">
        <f>IF(Request!$M175="IC of Above",0,Request!T175+IF(Request!$M176="IC of Above",Request!T176,0))</f>
        <v>0</v>
      </c>
      <c r="H148" s="4">
        <f t="shared" si="9"/>
        <v>0</v>
      </c>
    </row>
    <row r="149" spans="1:8" x14ac:dyDescent="0.2">
      <c r="A149" s="34">
        <f>Request!B176</f>
        <v>0</v>
      </c>
      <c r="B149" s="4" t="str">
        <f>IF(Request!M176="non-UC","No","Yes")</f>
        <v>No</v>
      </c>
      <c r="C149" s="4">
        <f>IF(Request!$M176="IC of Above",0,Request!P176+IF(Request!$M177="IC of Above",Request!P177,0))</f>
        <v>0</v>
      </c>
      <c r="D149" s="4">
        <f>IF(Request!$M176="IC of Above",0,Request!Q176+IF(Request!$M177="IC of Above",Request!Q177,0))</f>
        <v>0</v>
      </c>
      <c r="E149" s="4">
        <f>IF(Request!$M176="IC of Above",0,Request!R176+IF(Request!$M177="IC of Above",Request!R177,0))</f>
        <v>0</v>
      </c>
      <c r="F149" s="4">
        <f>IF(Request!$M176="IC of Above",0,Request!S176+IF(Request!$M177="IC of Above",Request!S177,0))</f>
        <v>0</v>
      </c>
      <c r="G149" s="4">
        <f>IF(Request!$M176="IC of Above",0,Request!T176+IF(Request!$M177="IC of Above",Request!T177,0))</f>
        <v>0</v>
      </c>
      <c r="H149" s="4">
        <f t="shared" si="9"/>
        <v>0</v>
      </c>
    </row>
    <row r="150" spans="1:8" x14ac:dyDescent="0.2">
      <c r="A150" s="34">
        <f>Request!B177</f>
        <v>0</v>
      </c>
      <c r="B150" s="4" t="str">
        <f>IF(Request!M177="non-UC","No","Yes")</f>
        <v>No</v>
      </c>
      <c r="C150" s="4">
        <f>IF(Request!$M177="IC of Above",0,Request!P177+IF(Request!$M178="IC of Above",Request!P178,0))</f>
        <v>0</v>
      </c>
      <c r="D150" s="4">
        <f>IF(Request!$M177="IC of Above",0,Request!Q177+IF(Request!$M178="IC of Above",Request!Q178,0))</f>
        <v>0</v>
      </c>
      <c r="E150" s="4">
        <f>IF(Request!$M177="IC of Above",0,Request!R177+IF(Request!$M178="IC of Above",Request!R178,0))</f>
        <v>0</v>
      </c>
      <c r="F150" s="4">
        <f>IF(Request!$M177="IC of Above",0,Request!S177+IF(Request!$M178="IC of Above",Request!S178,0))</f>
        <v>0</v>
      </c>
      <c r="G150" s="4">
        <f>IF(Request!$M177="IC of Above",0,Request!T177+IF(Request!$M178="IC of Above",Request!T178,0))</f>
        <v>0</v>
      </c>
      <c r="H150" s="4">
        <f t="shared" si="9"/>
        <v>0</v>
      </c>
    </row>
    <row r="151" spans="1:8" x14ac:dyDescent="0.2">
      <c r="A151" s="34">
        <f>Request!B178</f>
        <v>0</v>
      </c>
      <c r="B151" s="4" t="str">
        <f>IF(Request!M178="non-UC","No","Yes")</f>
        <v>No</v>
      </c>
      <c r="C151" s="4">
        <f>IF(Request!$M178="IC of Above",0,Request!P178+IF(Request!$M179="IC of Above",Request!P179,0))</f>
        <v>0</v>
      </c>
      <c r="D151" s="4">
        <f>IF(Request!$M178="IC of Above",0,Request!Q178+IF(Request!$M179="IC of Above",Request!Q179,0))</f>
        <v>0</v>
      </c>
      <c r="E151" s="4">
        <f>IF(Request!$M178="IC of Above",0,Request!R178+IF(Request!$M179="IC of Above",Request!R179,0))</f>
        <v>0</v>
      </c>
      <c r="F151" s="4">
        <f>IF(Request!$M178="IC of Above",0,Request!S178+IF(Request!$M179="IC of Above",Request!S179,0))</f>
        <v>0</v>
      </c>
      <c r="G151" s="4">
        <f>IF(Request!$M178="IC of Above",0,Request!T178+IF(Request!$M179="IC of Above",Request!T179,0))</f>
        <v>0</v>
      </c>
      <c r="H151" s="4">
        <f t="shared" si="9"/>
        <v>0</v>
      </c>
    </row>
    <row r="152" spans="1:8" x14ac:dyDescent="0.2">
      <c r="A152" s="34">
        <f>Request!B179</f>
        <v>0</v>
      </c>
      <c r="B152" s="4" t="str">
        <f>IF(Request!M179="non-UC","No","Yes")</f>
        <v>No</v>
      </c>
      <c r="C152" s="4">
        <f>IF(Request!$M179="IC of Above",0,Request!P179+IF(Request!$M180="IC of Above",Request!P180,0))</f>
        <v>0</v>
      </c>
      <c r="D152" s="4">
        <f>IF(Request!$M179="IC of Above",0,Request!Q179+IF(Request!$M180="IC of Above",Request!Q180,0))</f>
        <v>0</v>
      </c>
      <c r="E152" s="4">
        <f>IF(Request!$M179="IC of Above",0,Request!R179+IF(Request!$M180="IC of Above",Request!R180,0))</f>
        <v>0</v>
      </c>
      <c r="F152" s="4">
        <f>IF(Request!$M179="IC of Above",0,Request!S179+IF(Request!$M180="IC of Above",Request!S180,0))</f>
        <v>0</v>
      </c>
      <c r="G152" s="4">
        <f>IF(Request!$M179="IC of Above",0,Request!T179+IF(Request!$M180="IC of Above",Request!T180,0))</f>
        <v>0</v>
      </c>
      <c r="H152" s="4">
        <f t="shared" si="9"/>
        <v>0</v>
      </c>
    </row>
    <row r="153" spans="1:8" x14ac:dyDescent="0.2">
      <c r="A153" s="34">
        <f>Request!B180</f>
        <v>0</v>
      </c>
      <c r="B153" s="4" t="str">
        <f>IF(Request!M180="non-UC","No","Yes")</f>
        <v>No</v>
      </c>
      <c r="C153" s="4">
        <f>IF(Request!$M180="IC of Above",0,Request!P180+IF(Request!$M181="IC of Above",Request!P181,0))</f>
        <v>0</v>
      </c>
      <c r="D153" s="4">
        <f>IF(Request!$M180="IC of Above",0,Request!Q180+IF(Request!$M181="IC of Above",Request!Q181,0))</f>
        <v>0</v>
      </c>
      <c r="E153" s="4">
        <f>IF(Request!$M180="IC of Above",0,Request!R180+IF(Request!$M181="IC of Above",Request!R181,0))</f>
        <v>0</v>
      </c>
      <c r="F153" s="4">
        <f>IF(Request!$M180="IC of Above",0,Request!S180+IF(Request!$M181="IC of Above",Request!S181,0))</f>
        <v>0</v>
      </c>
      <c r="G153" s="4">
        <f>IF(Request!$M180="IC of Above",0,Request!T180+IF(Request!$M181="IC of Above",Request!T181,0))</f>
        <v>0</v>
      </c>
      <c r="H153" s="4">
        <f t="shared" si="9"/>
        <v>0</v>
      </c>
    </row>
    <row r="154" spans="1:8" x14ac:dyDescent="0.2">
      <c r="A154" s="34">
        <f>Request!B181</f>
        <v>0</v>
      </c>
      <c r="B154" s="4" t="str">
        <f>IF(Request!M181="non-UC","No","Yes")</f>
        <v>No</v>
      </c>
      <c r="C154" s="4">
        <f>IF(Request!$M181="IC of Above",0,Request!P181+IF(Request!$M182="IC of Above",Request!P182,0))</f>
        <v>0</v>
      </c>
      <c r="D154" s="4">
        <f>IF(Request!$M181="IC of Above",0,Request!Q181+IF(Request!$M182="IC of Above",Request!Q182,0))</f>
        <v>0</v>
      </c>
      <c r="E154" s="4">
        <f>IF(Request!$M181="IC of Above",0,Request!R181+IF(Request!$M182="IC of Above",Request!R182,0))</f>
        <v>0</v>
      </c>
      <c r="F154" s="4">
        <f>IF(Request!$M181="IC of Above",0,Request!S181+IF(Request!$M182="IC of Above",Request!S182,0))</f>
        <v>0</v>
      </c>
      <c r="G154" s="4">
        <f>IF(Request!$M181="IC of Above",0,Request!T181+IF(Request!$M182="IC of Above",Request!T182,0))</f>
        <v>0</v>
      </c>
      <c r="H154" s="4">
        <f t="shared" si="9"/>
        <v>0</v>
      </c>
    </row>
    <row r="155" spans="1:8" x14ac:dyDescent="0.2">
      <c r="A155" s="34">
        <f>Request!B182</f>
        <v>0</v>
      </c>
      <c r="B155" s="4" t="str">
        <f>IF(Request!M182="non-UC","No","Yes")</f>
        <v>No</v>
      </c>
      <c r="C155" s="4">
        <f>IF(Request!$M182="IC of Above",0,Request!P182+IF(Request!$M183="IC of Above",Request!P183,0))</f>
        <v>0</v>
      </c>
      <c r="D155" s="4">
        <f>IF(Request!$M182="IC of Above",0,Request!Q182+IF(Request!$M183="IC of Above",Request!Q183,0))</f>
        <v>0</v>
      </c>
      <c r="E155" s="4">
        <f>IF(Request!$M182="IC of Above",0,Request!R182+IF(Request!$M183="IC of Above",Request!R183,0))</f>
        <v>0</v>
      </c>
      <c r="F155" s="4">
        <f>IF(Request!$M182="IC of Above",0,Request!S182+IF(Request!$M183="IC of Above",Request!S183,0))</f>
        <v>0</v>
      </c>
      <c r="G155" s="4">
        <f>IF(Request!$M182="IC of Above",0,Request!T182+IF(Request!$M183="IC of Above",Request!T183,0))</f>
        <v>0</v>
      </c>
      <c r="H155" s="4">
        <f t="shared" si="9"/>
        <v>0</v>
      </c>
    </row>
    <row r="157" spans="1:8" x14ac:dyDescent="0.2">
      <c r="A157" s="9" t="s">
        <v>92</v>
      </c>
      <c r="B157" s="4" t="s">
        <v>90</v>
      </c>
      <c r="C157" s="9" t="s">
        <v>7</v>
      </c>
      <c r="D157" s="9" t="s">
        <v>8</v>
      </c>
      <c r="E157" s="9" t="s">
        <v>9</v>
      </c>
      <c r="F157" s="9" t="s">
        <v>18</v>
      </c>
      <c r="G157" s="9" t="s">
        <v>10</v>
      </c>
      <c r="H157" s="9" t="s">
        <v>11</v>
      </c>
    </row>
    <row r="158" spans="1:8" x14ac:dyDescent="0.2">
      <c r="A158" s="34">
        <f>Request!B156</f>
        <v>0</v>
      </c>
      <c r="B158" s="4" t="str">
        <f>IF(Request!M156="non-UC","No","Yes")</f>
        <v>No</v>
      </c>
      <c r="C158" s="4">
        <f>IF(B129="Yes",0,(IF(C129&gt;25000,25000,C129)))</f>
        <v>0</v>
      </c>
      <c r="D158" s="4">
        <f>IF(B158="Yes",0,IF(C129&gt;=25000,0,IF(C129+D129&gt;=25000,25000-C129,D129)))</f>
        <v>0</v>
      </c>
      <c r="E158" s="4">
        <f>IF(B158="Yes",0,IF((C129+D129)&gt;=25000,0,IF((C129+D129+E129)&gt;=25000,25000-C129-D129,E129)))</f>
        <v>0</v>
      </c>
      <c r="F158" s="4">
        <f>IF(B158="Yes",0,IF((C129+D129+E129)&gt;=25000,0,IF((C129+D129+E129+F129)&gt;=25000,25000-C129-D129-E129,F129)))</f>
        <v>0</v>
      </c>
      <c r="G158" s="4">
        <f>IF(B158="Yes",0,IF((C129+D129+E129+F129)&gt;=25000,0,IF((C129+D129+E129+F129+G129)&gt;=25000,25000-C129-D129-E129-F129,G129)))</f>
        <v>0</v>
      </c>
      <c r="H158" s="4">
        <f t="shared" ref="H158:H185" si="10">SUM(C158:G158)</f>
        <v>0</v>
      </c>
    </row>
    <row r="159" spans="1:8" x14ac:dyDescent="0.2">
      <c r="A159" s="34">
        <f>Request!B157</f>
        <v>0</v>
      </c>
      <c r="B159" s="4" t="str">
        <f>IF(Request!M157="non-UC","No","Yes")</f>
        <v>No</v>
      </c>
      <c r="C159" s="4">
        <f>IF(B130="Yes",0,(IF(C130&gt;25000,25000,C130)))</f>
        <v>0</v>
      </c>
      <c r="D159" s="4">
        <f t="shared" ref="D159:D184" si="11">IF(B159="Yes",0,IF(C130&gt;=25000,0,IF(C130+D130&gt;=25000,25000-C130,D130)))</f>
        <v>0</v>
      </c>
      <c r="E159" s="4">
        <f t="shared" ref="E159:E184" si="12">IF(B159="Yes",0,IF((C130+D130)&gt;=25000,0,IF((C130+D130+E130)&gt;=25000,25000-C130-D130,E130)))</f>
        <v>0</v>
      </c>
      <c r="F159" s="4">
        <f t="shared" ref="F159:F184" si="13">IF(B159="Yes",0,IF((C130+D130+E130)&gt;=25000,0,IF((C130+D130+E130+F130)&gt;=25000,25000-C130-D130-E130,F130)))</f>
        <v>0</v>
      </c>
      <c r="G159" s="4">
        <f t="shared" ref="G159:G184" si="14">IF(B159="Yes",0,IF((C130+D130+E130+F130)&gt;=25000,0,IF((C130+D130+E130+F130+G130)&gt;=25000,25000-C130-D130-E130-F130,G130)))</f>
        <v>0</v>
      </c>
      <c r="H159" s="4">
        <f t="shared" si="10"/>
        <v>0</v>
      </c>
    </row>
    <row r="160" spans="1:8" x14ac:dyDescent="0.2">
      <c r="A160" s="34"/>
      <c r="B160" s="4" t="str">
        <f>IF(Request!M158="non-UC","No","Yes")</f>
        <v>No</v>
      </c>
      <c r="C160" s="4">
        <f t="shared" ref="C160:C184" si="15">IF(B131="Yes",0,(IF(C131&gt;25000,25000,C131)))</f>
        <v>0</v>
      </c>
      <c r="D160" s="4">
        <f t="shared" si="11"/>
        <v>0</v>
      </c>
      <c r="E160" s="4">
        <f t="shared" si="12"/>
        <v>0</v>
      </c>
      <c r="F160" s="4">
        <f t="shared" si="13"/>
        <v>0</v>
      </c>
      <c r="G160" s="4">
        <f t="shared" si="14"/>
        <v>0</v>
      </c>
      <c r="H160" s="4">
        <f t="shared" si="10"/>
        <v>0</v>
      </c>
    </row>
    <row r="161" spans="1:8" x14ac:dyDescent="0.2">
      <c r="A161" s="34"/>
      <c r="B161" s="4" t="str">
        <f>IF(Request!M159="non-UC","No","Yes")</f>
        <v>No</v>
      </c>
      <c r="C161" s="4">
        <f t="shared" si="15"/>
        <v>0</v>
      </c>
      <c r="D161" s="4">
        <f t="shared" si="11"/>
        <v>0</v>
      </c>
      <c r="E161" s="4">
        <f t="shared" si="12"/>
        <v>0</v>
      </c>
      <c r="F161" s="4">
        <f t="shared" si="13"/>
        <v>0</v>
      </c>
      <c r="G161" s="4">
        <f t="shared" si="14"/>
        <v>0</v>
      </c>
      <c r="H161" s="4">
        <f t="shared" si="10"/>
        <v>0</v>
      </c>
    </row>
    <row r="162" spans="1:8" x14ac:dyDescent="0.2">
      <c r="A162" s="34"/>
      <c r="B162" s="4" t="str">
        <f>IF(Request!M160="non-UC","No","Yes")</f>
        <v>No</v>
      </c>
      <c r="C162" s="4">
        <f>IF(B133="Yes",0,(IF(C133&gt;25000,25000,C133)))</f>
        <v>0</v>
      </c>
      <c r="D162" s="4">
        <f t="shared" si="11"/>
        <v>0</v>
      </c>
      <c r="E162" s="4">
        <f t="shared" si="12"/>
        <v>0</v>
      </c>
      <c r="F162" s="4">
        <f t="shared" si="13"/>
        <v>0</v>
      </c>
      <c r="G162" s="4">
        <f t="shared" si="14"/>
        <v>0</v>
      </c>
      <c r="H162" s="4">
        <f t="shared" si="10"/>
        <v>0</v>
      </c>
    </row>
    <row r="163" spans="1:8" x14ac:dyDescent="0.2">
      <c r="A163" s="34"/>
      <c r="B163" s="4" t="str">
        <f>IF(Request!M161="non-UC","No","Yes")</f>
        <v>No</v>
      </c>
      <c r="C163" s="4">
        <f>IF(B134="Yes",0,(IF(C134&gt;25000,25000,C134)))</f>
        <v>0</v>
      </c>
      <c r="D163" s="4">
        <f t="shared" si="11"/>
        <v>0</v>
      </c>
      <c r="E163" s="4">
        <f t="shared" si="12"/>
        <v>0</v>
      </c>
      <c r="F163" s="4">
        <f t="shared" si="13"/>
        <v>0</v>
      </c>
      <c r="G163" s="4">
        <f t="shared" si="14"/>
        <v>0</v>
      </c>
      <c r="H163" s="4">
        <f t="shared" si="10"/>
        <v>0</v>
      </c>
    </row>
    <row r="164" spans="1:8" x14ac:dyDescent="0.2">
      <c r="A164" s="34"/>
      <c r="B164" s="4" t="str">
        <f>IF(Request!M162="non-UC","No","Yes")</f>
        <v>No</v>
      </c>
      <c r="C164" s="4">
        <f t="shared" si="15"/>
        <v>0</v>
      </c>
      <c r="D164" s="4">
        <f t="shared" si="11"/>
        <v>0</v>
      </c>
      <c r="E164" s="4">
        <f t="shared" si="12"/>
        <v>0</v>
      </c>
      <c r="F164" s="4">
        <f t="shared" si="13"/>
        <v>0</v>
      </c>
      <c r="G164" s="4">
        <f t="shared" si="14"/>
        <v>0</v>
      </c>
      <c r="H164" s="4">
        <f t="shared" si="10"/>
        <v>0</v>
      </c>
    </row>
    <row r="165" spans="1:8" x14ac:dyDescent="0.2">
      <c r="A165" s="34"/>
      <c r="B165" s="4" t="str">
        <f>IF(Request!M163="non-UC","No","Yes")</f>
        <v>No</v>
      </c>
      <c r="C165" s="4">
        <f t="shared" si="15"/>
        <v>0</v>
      </c>
      <c r="D165" s="4">
        <f t="shared" si="11"/>
        <v>0</v>
      </c>
      <c r="E165" s="4">
        <f t="shared" si="12"/>
        <v>0</v>
      </c>
      <c r="F165" s="4">
        <f t="shared" si="13"/>
        <v>0</v>
      </c>
      <c r="G165" s="4">
        <f t="shared" si="14"/>
        <v>0</v>
      </c>
      <c r="H165" s="4">
        <f t="shared" si="10"/>
        <v>0</v>
      </c>
    </row>
    <row r="166" spans="1:8" x14ac:dyDescent="0.2">
      <c r="A166" s="34"/>
      <c r="B166" s="4" t="str">
        <f>IF(Request!M164="non-UC","No","Yes")</f>
        <v>No</v>
      </c>
      <c r="C166" s="4">
        <f t="shared" si="15"/>
        <v>0</v>
      </c>
      <c r="D166" s="4">
        <f t="shared" si="11"/>
        <v>0</v>
      </c>
      <c r="E166" s="4">
        <f t="shared" si="12"/>
        <v>0</v>
      </c>
      <c r="F166" s="4">
        <f t="shared" si="13"/>
        <v>0</v>
      </c>
      <c r="G166" s="4">
        <f t="shared" si="14"/>
        <v>0</v>
      </c>
      <c r="H166" s="4">
        <f t="shared" si="10"/>
        <v>0</v>
      </c>
    </row>
    <row r="167" spans="1:8" x14ac:dyDescent="0.2">
      <c r="A167" s="34"/>
      <c r="B167" s="4" t="str">
        <f>IF(Request!M165="non-UC","No","Yes")</f>
        <v>No</v>
      </c>
      <c r="C167" s="4">
        <f t="shared" si="15"/>
        <v>0</v>
      </c>
      <c r="D167" s="4">
        <f t="shared" si="11"/>
        <v>0</v>
      </c>
      <c r="E167" s="4">
        <f t="shared" si="12"/>
        <v>0</v>
      </c>
      <c r="F167" s="4">
        <f t="shared" si="13"/>
        <v>0</v>
      </c>
      <c r="G167" s="4">
        <f t="shared" si="14"/>
        <v>0</v>
      </c>
      <c r="H167" s="4">
        <f t="shared" si="10"/>
        <v>0</v>
      </c>
    </row>
    <row r="168" spans="1:8" x14ac:dyDescent="0.2">
      <c r="A168" s="34"/>
      <c r="B168" s="4" t="str">
        <f>IF(Request!M166="non-UC","No","Yes")</f>
        <v>No</v>
      </c>
      <c r="C168" s="4">
        <f t="shared" si="15"/>
        <v>0</v>
      </c>
      <c r="D168" s="4">
        <f t="shared" si="11"/>
        <v>0</v>
      </c>
      <c r="E168" s="4">
        <f t="shared" si="12"/>
        <v>0</v>
      </c>
      <c r="F168" s="4">
        <f t="shared" si="13"/>
        <v>0</v>
      </c>
      <c r="G168" s="4">
        <f t="shared" si="14"/>
        <v>0</v>
      </c>
      <c r="H168" s="4">
        <f t="shared" si="10"/>
        <v>0</v>
      </c>
    </row>
    <row r="169" spans="1:8" x14ac:dyDescent="0.2">
      <c r="A169" s="34"/>
      <c r="B169" s="4" t="str">
        <f>IF(Request!M167="non-UC","No","Yes")</f>
        <v>No</v>
      </c>
      <c r="C169" s="4">
        <f t="shared" si="15"/>
        <v>0</v>
      </c>
      <c r="D169" s="4">
        <f t="shared" si="11"/>
        <v>0</v>
      </c>
      <c r="E169" s="4">
        <f t="shared" si="12"/>
        <v>0</v>
      </c>
      <c r="F169" s="4">
        <f t="shared" si="13"/>
        <v>0</v>
      </c>
      <c r="G169" s="4">
        <f t="shared" si="14"/>
        <v>0</v>
      </c>
      <c r="H169" s="4">
        <f t="shared" si="10"/>
        <v>0</v>
      </c>
    </row>
    <row r="170" spans="1:8" x14ac:dyDescent="0.2">
      <c r="A170" s="34"/>
      <c r="B170" s="4" t="str">
        <f>IF(Request!M168="non-UC","No","Yes")</f>
        <v>No</v>
      </c>
      <c r="C170" s="4">
        <f t="shared" si="15"/>
        <v>0</v>
      </c>
      <c r="D170" s="4">
        <f t="shared" si="11"/>
        <v>0</v>
      </c>
      <c r="E170" s="4">
        <f t="shared" si="12"/>
        <v>0</v>
      </c>
      <c r="F170" s="4">
        <f t="shared" si="13"/>
        <v>0</v>
      </c>
      <c r="G170" s="4">
        <f t="shared" si="14"/>
        <v>0</v>
      </c>
      <c r="H170" s="4">
        <f t="shared" si="10"/>
        <v>0</v>
      </c>
    </row>
    <row r="171" spans="1:8" x14ac:dyDescent="0.2">
      <c r="A171" s="34"/>
      <c r="B171" s="4" t="str">
        <f>IF(Request!M169="non-UC","No","Yes")</f>
        <v>No</v>
      </c>
      <c r="C171" s="4">
        <f t="shared" si="15"/>
        <v>0</v>
      </c>
      <c r="D171" s="4">
        <f t="shared" si="11"/>
        <v>0</v>
      </c>
      <c r="E171" s="4">
        <f t="shared" si="12"/>
        <v>0</v>
      </c>
      <c r="F171" s="4">
        <f t="shared" si="13"/>
        <v>0</v>
      </c>
      <c r="G171" s="4">
        <f t="shared" si="14"/>
        <v>0</v>
      </c>
      <c r="H171" s="4">
        <f t="shared" si="10"/>
        <v>0</v>
      </c>
    </row>
    <row r="172" spans="1:8" x14ac:dyDescent="0.2">
      <c r="A172" s="34">
        <f>Request!B170</f>
        <v>0</v>
      </c>
      <c r="B172" s="4" t="str">
        <f>IF(Request!M170="non-UC","No","Yes")</f>
        <v>No</v>
      </c>
      <c r="C172" s="4">
        <f t="shared" si="15"/>
        <v>0</v>
      </c>
      <c r="D172" s="4">
        <f t="shared" si="11"/>
        <v>0</v>
      </c>
      <c r="E172" s="4">
        <f t="shared" si="12"/>
        <v>0</v>
      </c>
      <c r="F172" s="4">
        <f t="shared" si="13"/>
        <v>0</v>
      </c>
      <c r="G172" s="4">
        <f t="shared" si="14"/>
        <v>0</v>
      </c>
      <c r="H172" s="4">
        <f t="shared" si="10"/>
        <v>0</v>
      </c>
    </row>
    <row r="173" spans="1:8" x14ac:dyDescent="0.2">
      <c r="A173" s="34">
        <f>Request!B171</f>
        <v>0</v>
      </c>
      <c r="B173" s="4" t="str">
        <f>IF(Request!M171="non-UC","No","Yes")</f>
        <v>No</v>
      </c>
      <c r="C173" s="4">
        <f t="shared" si="15"/>
        <v>0</v>
      </c>
      <c r="D173" s="4">
        <f t="shared" si="11"/>
        <v>0</v>
      </c>
      <c r="E173" s="4">
        <f t="shared" si="12"/>
        <v>0</v>
      </c>
      <c r="F173" s="4">
        <f t="shared" si="13"/>
        <v>0</v>
      </c>
      <c r="G173" s="4">
        <f t="shared" si="14"/>
        <v>0</v>
      </c>
      <c r="H173" s="4">
        <f t="shared" si="10"/>
        <v>0</v>
      </c>
    </row>
    <row r="174" spans="1:8" x14ac:dyDescent="0.2">
      <c r="A174" s="34">
        <f>Request!B172</f>
        <v>0</v>
      </c>
      <c r="B174" s="4" t="str">
        <f>IF(Request!M172="non-UC","No","Yes")</f>
        <v>No</v>
      </c>
      <c r="C174" s="4">
        <f t="shared" si="15"/>
        <v>0</v>
      </c>
      <c r="D174" s="4">
        <f t="shared" si="11"/>
        <v>0</v>
      </c>
      <c r="E174" s="4">
        <f t="shared" si="12"/>
        <v>0</v>
      </c>
      <c r="F174" s="4">
        <f t="shared" si="13"/>
        <v>0</v>
      </c>
      <c r="G174" s="4">
        <f t="shared" si="14"/>
        <v>0</v>
      </c>
      <c r="H174" s="4">
        <f t="shared" si="10"/>
        <v>0</v>
      </c>
    </row>
    <row r="175" spans="1:8" x14ac:dyDescent="0.2">
      <c r="A175" s="34">
        <f>Request!B173</f>
        <v>0</v>
      </c>
      <c r="B175" s="4" t="str">
        <f>IF(Request!M173="non-UC","No","Yes")</f>
        <v>No</v>
      </c>
      <c r="C175" s="4">
        <f t="shared" si="15"/>
        <v>0</v>
      </c>
      <c r="D175" s="4">
        <f t="shared" si="11"/>
        <v>0</v>
      </c>
      <c r="E175" s="4">
        <f t="shared" si="12"/>
        <v>0</v>
      </c>
      <c r="F175" s="4">
        <f t="shared" si="13"/>
        <v>0</v>
      </c>
      <c r="G175" s="4">
        <f t="shared" si="14"/>
        <v>0</v>
      </c>
      <c r="H175" s="4">
        <f t="shared" si="10"/>
        <v>0</v>
      </c>
    </row>
    <row r="176" spans="1:8" x14ac:dyDescent="0.2">
      <c r="A176" s="34">
        <f>Request!B174</f>
        <v>0</v>
      </c>
      <c r="B176" s="4" t="str">
        <f>IF(Request!M174="non-UC","No","Yes")</f>
        <v>No</v>
      </c>
      <c r="C176" s="4">
        <f t="shared" si="15"/>
        <v>0</v>
      </c>
      <c r="D176" s="4">
        <f t="shared" si="11"/>
        <v>0</v>
      </c>
      <c r="E176" s="4">
        <f t="shared" si="12"/>
        <v>0</v>
      </c>
      <c r="F176" s="4">
        <f t="shared" si="13"/>
        <v>0</v>
      </c>
      <c r="G176" s="4">
        <f t="shared" si="14"/>
        <v>0</v>
      </c>
      <c r="H176" s="4">
        <f t="shared" si="10"/>
        <v>0</v>
      </c>
    </row>
    <row r="177" spans="1:8" x14ac:dyDescent="0.2">
      <c r="A177" s="34">
        <f>Request!B175</f>
        <v>0</v>
      </c>
      <c r="B177" s="4" t="str">
        <f>IF(Request!M175="non-UC","No","Yes")</f>
        <v>No</v>
      </c>
      <c r="C177" s="4">
        <f t="shared" si="15"/>
        <v>0</v>
      </c>
      <c r="D177" s="4">
        <f t="shared" si="11"/>
        <v>0</v>
      </c>
      <c r="E177" s="4">
        <f t="shared" si="12"/>
        <v>0</v>
      </c>
      <c r="F177" s="4">
        <f t="shared" si="13"/>
        <v>0</v>
      </c>
      <c r="G177" s="4">
        <f t="shared" si="14"/>
        <v>0</v>
      </c>
      <c r="H177" s="4">
        <f t="shared" si="10"/>
        <v>0</v>
      </c>
    </row>
    <row r="178" spans="1:8" x14ac:dyDescent="0.2">
      <c r="A178" s="34">
        <f>Request!B176</f>
        <v>0</v>
      </c>
      <c r="B178" s="4" t="str">
        <f>IF(Request!M176="non-UC","No","Yes")</f>
        <v>No</v>
      </c>
      <c r="C178" s="4">
        <f t="shared" si="15"/>
        <v>0</v>
      </c>
      <c r="D178" s="4">
        <f t="shared" si="11"/>
        <v>0</v>
      </c>
      <c r="E178" s="4">
        <f t="shared" si="12"/>
        <v>0</v>
      </c>
      <c r="F178" s="4">
        <f t="shared" si="13"/>
        <v>0</v>
      </c>
      <c r="G178" s="4">
        <f t="shared" si="14"/>
        <v>0</v>
      </c>
      <c r="H178" s="4">
        <f t="shared" si="10"/>
        <v>0</v>
      </c>
    </row>
    <row r="179" spans="1:8" x14ac:dyDescent="0.2">
      <c r="A179" s="34">
        <f>Request!B177</f>
        <v>0</v>
      </c>
      <c r="B179" s="4" t="str">
        <f>IF(Request!M177="non-UC","No","Yes")</f>
        <v>No</v>
      </c>
      <c r="C179" s="4">
        <f t="shared" si="15"/>
        <v>0</v>
      </c>
      <c r="D179" s="4">
        <f t="shared" si="11"/>
        <v>0</v>
      </c>
      <c r="E179" s="4">
        <f t="shared" si="12"/>
        <v>0</v>
      </c>
      <c r="F179" s="4">
        <f t="shared" si="13"/>
        <v>0</v>
      </c>
      <c r="G179" s="4">
        <f t="shared" si="14"/>
        <v>0</v>
      </c>
      <c r="H179" s="4">
        <f t="shared" si="10"/>
        <v>0</v>
      </c>
    </row>
    <row r="180" spans="1:8" x14ac:dyDescent="0.2">
      <c r="A180" s="34">
        <f>Request!B178</f>
        <v>0</v>
      </c>
      <c r="B180" s="4" t="str">
        <f>IF(Request!M178="non-UC","No","Yes")</f>
        <v>No</v>
      </c>
      <c r="C180" s="4">
        <f t="shared" si="15"/>
        <v>0</v>
      </c>
      <c r="D180" s="4">
        <f t="shared" si="11"/>
        <v>0</v>
      </c>
      <c r="E180" s="4">
        <f t="shared" si="12"/>
        <v>0</v>
      </c>
      <c r="F180" s="4">
        <f t="shared" si="13"/>
        <v>0</v>
      </c>
      <c r="G180" s="4">
        <f t="shared" si="14"/>
        <v>0</v>
      </c>
      <c r="H180" s="4">
        <f t="shared" si="10"/>
        <v>0</v>
      </c>
    </row>
    <row r="181" spans="1:8" x14ac:dyDescent="0.2">
      <c r="A181" s="34">
        <f>Request!B179</f>
        <v>0</v>
      </c>
      <c r="B181" s="4" t="str">
        <f>IF(Request!M179="non-UC","No","Yes")</f>
        <v>No</v>
      </c>
      <c r="C181" s="4">
        <f t="shared" si="15"/>
        <v>0</v>
      </c>
      <c r="D181" s="4">
        <f t="shared" si="11"/>
        <v>0</v>
      </c>
      <c r="E181" s="4">
        <f t="shared" si="12"/>
        <v>0</v>
      </c>
      <c r="F181" s="4">
        <f t="shared" si="13"/>
        <v>0</v>
      </c>
      <c r="G181" s="4">
        <f t="shared" si="14"/>
        <v>0</v>
      </c>
      <c r="H181" s="4">
        <f t="shared" si="10"/>
        <v>0</v>
      </c>
    </row>
    <row r="182" spans="1:8" x14ac:dyDescent="0.2">
      <c r="A182" s="34">
        <f>Request!B180</f>
        <v>0</v>
      </c>
      <c r="B182" s="4" t="str">
        <f>IF(Request!M180="non-UC","No","Yes")</f>
        <v>No</v>
      </c>
      <c r="C182" s="4">
        <f t="shared" si="15"/>
        <v>0</v>
      </c>
      <c r="D182" s="4">
        <f t="shared" si="11"/>
        <v>0</v>
      </c>
      <c r="E182" s="4">
        <f t="shared" si="12"/>
        <v>0</v>
      </c>
      <c r="F182" s="4">
        <f t="shared" si="13"/>
        <v>0</v>
      </c>
      <c r="G182" s="4">
        <f t="shared" si="14"/>
        <v>0</v>
      </c>
      <c r="H182" s="4">
        <f t="shared" si="10"/>
        <v>0</v>
      </c>
    </row>
    <row r="183" spans="1:8" x14ac:dyDescent="0.2">
      <c r="A183" s="34">
        <f>Request!B181</f>
        <v>0</v>
      </c>
      <c r="B183" s="4" t="str">
        <f>IF(Request!M181="non-UC","No","Yes")</f>
        <v>No</v>
      </c>
      <c r="C183" s="4">
        <f t="shared" si="15"/>
        <v>0</v>
      </c>
      <c r="D183" s="4">
        <f t="shared" si="11"/>
        <v>0</v>
      </c>
      <c r="E183" s="4">
        <f t="shared" si="12"/>
        <v>0</v>
      </c>
      <c r="F183" s="4">
        <f t="shared" si="13"/>
        <v>0</v>
      </c>
      <c r="G183" s="4">
        <f t="shared" si="14"/>
        <v>0</v>
      </c>
      <c r="H183" s="4">
        <f t="shared" si="10"/>
        <v>0</v>
      </c>
    </row>
    <row r="184" spans="1:8" x14ac:dyDescent="0.2">
      <c r="A184" s="34">
        <f>Request!B182</f>
        <v>0</v>
      </c>
      <c r="B184" s="4" t="str">
        <f>IF(Request!M182="non-UC","No","Yes")</f>
        <v>No</v>
      </c>
      <c r="C184" s="4">
        <f t="shared" si="15"/>
        <v>0</v>
      </c>
      <c r="D184" s="4">
        <f t="shared" si="11"/>
        <v>0</v>
      </c>
      <c r="E184" s="4">
        <f t="shared" si="12"/>
        <v>0</v>
      </c>
      <c r="F184" s="4">
        <f t="shared" si="13"/>
        <v>0</v>
      </c>
      <c r="G184" s="4">
        <f t="shared" si="14"/>
        <v>0</v>
      </c>
      <c r="H184" s="4">
        <f t="shared" si="10"/>
        <v>0</v>
      </c>
    </row>
    <row r="185" spans="1:8" x14ac:dyDescent="0.2">
      <c r="A185" s="323" t="s">
        <v>91</v>
      </c>
      <c r="B185" s="323"/>
      <c r="C185" s="35">
        <f>SUM(C158:C184)</f>
        <v>0</v>
      </c>
      <c r="D185" s="35">
        <f>SUM(D158:D184)</f>
        <v>0</v>
      </c>
      <c r="E185" s="35">
        <f>SUM(E158:E184)</f>
        <v>0</v>
      </c>
      <c r="F185" s="35">
        <f>SUM(F158:F184)</f>
        <v>0</v>
      </c>
      <c r="G185" s="35">
        <f>SUM(G158:G184)</f>
        <v>0</v>
      </c>
      <c r="H185" s="35">
        <f t="shared" si="10"/>
        <v>0</v>
      </c>
    </row>
    <row r="187" spans="1:8" x14ac:dyDescent="0.2">
      <c r="A187" s="9" t="s">
        <v>93</v>
      </c>
      <c r="B187" s="4" t="s">
        <v>90</v>
      </c>
      <c r="C187" s="9" t="s">
        <v>7</v>
      </c>
      <c r="D187" s="9" t="s">
        <v>8</v>
      </c>
      <c r="E187" s="9" t="s">
        <v>9</v>
      </c>
      <c r="F187" s="9" t="s">
        <v>18</v>
      </c>
      <c r="G187" s="9" t="s">
        <v>10</v>
      </c>
      <c r="H187" s="9" t="s">
        <v>11</v>
      </c>
    </row>
    <row r="188" spans="1:8" x14ac:dyDescent="0.2">
      <c r="A188" s="34">
        <f>Request!B156</f>
        <v>0</v>
      </c>
      <c r="B188" s="4" t="str">
        <f>IF(Request!M156="non-UC","No","Yes")</f>
        <v>No</v>
      </c>
      <c r="C188" s="4">
        <f>IF($B188="Yes",0,C129)</f>
        <v>0</v>
      </c>
      <c r="D188" s="4">
        <f>IF($B188="Yes",0,D129)</f>
        <v>0</v>
      </c>
      <c r="E188" s="4">
        <f>IF($B188="Yes",0,E129)</f>
        <v>0</v>
      </c>
      <c r="F188" s="4">
        <f>IF($B188="Yes",0,F129)</f>
        <v>0</v>
      </c>
      <c r="G188" s="4">
        <f>IF($B188="Yes",0,G129)</f>
        <v>0</v>
      </c>
      <c r="H188" s="4">
        <f t="shared" ref="H188:H215" si="16">SUM(C188:G188)</f>
        <v>0</v>
      </c>
    </row>
    <row r="189" spans="1:8" x14ac:dyDescent="0.2">
      <c r="A189" s="34">
        <f>Request!B157</f>
        <v>0</v>
      </c>
      <c r="B189" s="4" t="str">
        <f>IF(Request!M157="non-UC","No","Yes")</f>
        <v>No</v>
      </c>
      <c r="C189" s="4">
        <f t="shared" ref="C189:C193" si="17">IF($B189="Yes",0,C130)</f>
        <v>0</v>
      </c>
      <c r="D189" s="4">
        <f>IF($B189="Yes",0,D130)</f>
        <v>0</v>
      </c>
      <c r="E189" s="4">
        <f>IF($B189="Yes",0,E130)</f>
        <v>0</v>
      </c>
      <c r="F189" s="4">
        <f>IF($B189="Yes",0,F130)</f>
        <v>0</v>
      </c>
      <c r="G189" s="4">
        <f>IF($B189="Yes",0,G130)</f>
        <v>0</v>
      </c>
      <c r="H189" s="4">
        <f t="shared" si="16"/>
        <v>0</v>
      </c>
    </row>
    <row r="190" spans="1:8" x14ac:dyDescent="0.2">
      <c r="A190" s="34"/>
      <c r="B190" s="4" t="str">
        <f>IF(Request!M158="non-UC","No","Yes")</f>
        <v>No</v>
      </c>
      <c r="C190" s="4">
        <f t="shared" si="17"/>
        <v>0</v>
      </c>
      <c r="D190" s="4">
        <f t="shared" ref="C190:G214" si="18">IF($B190="Yes",0,D131)</f>
        <v>0</v>
      </c>
      <c r="E190" s="4">
        <f t="shared" si="18"/>
        <v>0</v>
      </c>
      <c r="F190" s="4">
        <f t="shared" si="18"/>
        <v>0</v>
      </c>
      <c r="G190" s="4">
        <f t="shared" si="18"/>
        <v>0</v>
      </c>
      <c r="H190" s="4">
        <f t="shared" ref="H190:H214" si="19">SUM(C190:G190)</f>
        <v>0</v>
      </c>
    </row>
    <row r="191" spans="1:8" x14ac:dyDescent="0.2">
      <c r="A191" s="34"/>
      <c r="B191" s="4" t="str">
        <f>IF(Request!M159="non-UC","No","Yes")</f>
        <v>No</v>
      </c>
      <c r="C191" s="4">
        <f t="shared" si="17"/>
        <v>0</v>
      </c>
      <c r="D191" s="4">
        <f t="shared" si="18"/>
        <v>0</v>
      </c>
      <c r="E191" s="4">
        <f t="shared" si="18"/>
        <v>0</v>
      </c>
      <c r="F191" s="4">
        <f t="shared" si="18"/>
        <v>0</v>
      </c>
      <c r="G191" s="4">
        <f t="shared" si="18"/>
        <v>0</v>
      </c>
      <c r="H191" s="4">
        <f t="shared" si="19"/>
        <v>0</v>
      </c>
    </row>
    <row r="192" spans="1:8" x14ac:dyDescent="0.2">
      <c r="A192" s="34"/>
      <c r="B192" s="4" t="str">
        <f>IF(Request!M160="non-UC","No","Yes")</f>
        <v>No</v>
      </c>
      <c r="C192" s="4">
        <f t="shared" si="17"/>
        <v>0</v>
      </c>
      <c r="D192" s="4">
        <f t="shared" si="18"/>
        <v>0</v>
      </c>
      <c r="E192" s="4">
        <f t="shared" si="18"/>
        <v>0</v>
      </c>
      <c r="F192" s="4">
        <f t="shared" si="18"/>
        <v>0</v>
      </c>
      <c r="G192" s="4">
        <f t="shared" si="18"/>
        <v>0</v>
      </c>
      <c r="H192" s="4">
        <f t="shared" si="19"/>
        <v>0</v>
      </c>
    </row>
    <row r="193" spans="1:8" x14ac:dyDescent="0.2">
      <c r="A193" s="34"/>
      <c r="B193" s="4" t="str">
        <f>IF(Request!M161="non-UC","No","Yes")</f>
        <v>No</v>
      </c>
      <c r="C193" s="4">
        <f t="shared" si="17"/>
        <v>0</v>
      </c>
      <c r="D193" s="4">
        <f t="shared" si="18"/>
        <v>0</v>
      </c>
      <c r="E193" s="4">
        <f t="shared" si="18"/>
        <v>0</v>
      </c>
      <c r="F193" s="4">
        <f t="shared" si="18"/>
        <v>0</v>
      </c>
      <c r="G193" s="4">
        <f t="shared" si="18"/>
        <v>0</v>
      </c>
      <c r="H193" s="4">
        <f t="shared" si="19"/>
        <v>0</v>
      </c>
    </row>
    <row r="194" spans="1:8" x14ac:dyDescent="0.2">
      <c r="A194" s="34"/>
      <c r="B194" s="4" t="str">
        <f>IF(Request!M162="non-UC","No","Yes")</f>
        <v>No</v>
      </c>
      <c r="C194" s="4">
        <f t="shared" si="18"/>
        <v>0</v>
      </c>
      <c r="D194" s="4">
        <f t="shared" si="18"/>
        <v>0</v>
      </c>
      <c r="E194" s="4">
        <f t="shared" si="18"/>
        <v>0</v>
      </c>
      <c r="F194" s="4">
        <f t="shared" si="18"/>
        <v>0</v>
      </c>
      <c r="G194" s="4">
        <f t="shared" si="18"/>
        <v>0</v>
      </c>
      <c r="H194" s="4">
        <f t="shared" si="19"/>
        <v>0</v>
      </c>
    </row>
    <row r="195" spans="1:8" x14ac:dyDescent="0.2">
      <c r="A195" s="34"/>
      <c r="B195" s="4" t="str">
        <f>IF(Request!M163="non-UC","No","Yes")</f>
        <v>No</v>
      </c>
      <c r="C195" s="4">
        <f t="shared" si="18"/>
        <v>0</v>
      </c>
      <c r="D195" s="4">
        <f t="shared" si="18"/>
        <v>0</v>
      </c>
      <c r="E195" s="4">
        <f t="shared" si="18"/>
        <v>0</v>
      </c>
      <c r="F195" s="4">
        <f t="shared" si="18"/>
        <v>0</v>
      </c>
      <c r="G195" s="4">
        <f t="shared" si="18"/>
        <v>0</v>
      </c>
      <c r="H195" s="4">
        <f t="shared" si="19"/>
        <v>0</v>
      </c>
    </row>
    <row r="196" spans="1:8" x14ac:dyDescent="0.2">
      <c r="A196" s="34"/>
      <c r="B196" s="4" t="str">
        <f>IF(Request!M164="non-UC","No","Yes")</f>
        <v>No</v>
      </c>
      <c r="C196" s="4">
        <f t="shared" si="18"/>
        <v>0</v>
      </c>
      <c r="D196" s="4">
        <f t="shared" si="18"/>
        <v>0</v>
      </c>
      <c r="E196" s="4">
        <f t="shared" si="18"/>
        <v>0</v>
      </c>
      <c r="F196" s="4">
        <f t="shared" si="18"/>
        <v>0</v>
      </c>
      <c r="G196" s="4">
        <f t="shared" si="18"/>
        <v>0</v>
      </c>
      <c r="H196" s="4">
        <f t="shared" si="19"/>
        <v>0</v>
      </c>
    </row>
    <row r="197" spans="1:8" x14ac:dyDescent="0.2">
      <c r="A197" s="34"/>
      <c r="B197" s="4" t="str">
        <f>IF(Request!M165="non-UC","No","Yes")</f>
        <v>No</v>
      </c>
      <c r="C197" s="4">
        <f t="shared" si="18"/>
        <v>0</v>
      </c>
      <c r="D197" s="4">
        <f t="shared" si="18"/>
        <v>0</v>
      </c>
      <c r="E197" s="4">
        <f t="shared" si="18"/>
        <v>0</v>
      </c>
      <c r="F197" s="4">
        <f t="shared" si="18"/>
        <v>0</v>
      </c>
      <c r="G197" s="4">
        <f t="shared" si="18"/>
        <v>0</v>
      </c>
      <c r="H197" s="4">
        <f t="shared" si="19"/>
        <v>0</v>
      </c>
    </row>
    <row r="198" spans="1:8" x14ac:dyDescent="0.2">
      <c r="A198" s="34"/>
      <c r="B198" s="4" t="str">
        <f>IF(Request!M166="non-UC","No","Yes")</f>
        <v>No</v>
      </c>
      <c r="C198" s="4">
        <f t="shared" si="18"/>
        <v>0</v>
      </c>
      <c r="D198" s="4">
        <f t="shared" si="18"/>
        <v>0</v>
      </c>
      <c r="E198" s="4">
        <f t="shared" si="18"/>
        <v>0</v>
      </c>
      <c r="F198" s="4">
        <f t="shared" si="18"/>
        <v>0</v>
      </c>
      <c r="G198" s="4">
        <f t="shared" si="18"/>
        <v>0</v>
      </c>
      <c r="H198" s="4">
        <f t="shared" si="19"/>
        <v>0</v>
      </c>
    </row>
    <row r="199" spans="1:8" x14ac:dyDescent="0.2">
      <c r="A199" s="34"/>
      <c r="B199" s="4" t="str">
        <f>IF(Request!M167="non-UC","No","Yes")</f>
        <v>No</v>
      </c>
      <c r="C199" s="4">
        <f t="shared" si="18"/>
        <v>0</v>
      </c>
      <c r="D199" s="4">
        <f t="shared" si="18"/>
        <v>0</v>
      </c>
      <c r="E199" s="4">
        <f t="shared" si="18"/>
        <v>0</v>
      </c>
      <c r="F199" s="4">
        <f t="shared" si="18"/>
        <v>0</v>
      </c>
      <c r="G199" s="4">
        <f t="shared" si="18"/>
        <v>0</v>
      </c>
      <c r="H199" s="4">
        <f t="shared" si="19"/>
        <v>0</v>
      </c>
    </row>
    <row r="200" spans="1:8" x14ac:dyDescent="0.2">
      <c r="A200" s="34"/>
      <c r="B200" s="4" t="str">
        <f>IF(Request!M168="non-UC","No","Yes")</f>
        <v>No</v>
      </c>
      <c r="C200" s="4">
        <f t="shared" si="18"/>
        <v>0</v>
      </c>
      <c r="D200" s="4">
        <f t="shared" si="18"/>
        <v>0</v>
      </c>
      <c r="E200" s="4">
        <f t="shared" si="18"/>
        <v>0</v>
      </c>
      <c r="F200" s="4">
        <f t="shared" si="18"/>
        <v>0</v>
      </c>
      <c r="G200" s="4">
        <f t="shared" si="18"/>
        <v>0</v>
      </c>
      <c r="H200" s="4">
        <f t="shared" si="19"/>
        <v>0</v>
      </c>
    </row>
    <row r="201" spans="1:8" x14ac:dyDescent="0.2">
      <c r="A201" s="34"/>
      <c r="B201" s="4" t="str">
        <f>IF(Request!M169="non-UC","No","Yes")</f>
        <v>No</v>
      </c>
      <c r="C201" s="4">
        <f t="shared" si="18"/>
        <v>0</v>
      </c>
      <c r="D201" s="4">
        <f t="shared" si="18"/>
        <v>0</v>
      </c>
      <c r="E201" s="4">
        <f t="shared" si="18"/>
        <v>0</v>
      </c>
      <c r="F201" s="4">
        <f t="shared" si="18"/>
        <v>0</v>
      </c>
      <c r="G201" s="4">
        <f t="shared" si="18"/>
        <v>0</v>
      </c>
      <c r="H201" s="4">
        <f t="shared" si="19"/>
        <v>0</v>
      </c>
    </row>
    <row r="202" spans="1:8" x14ac:dyDescent="0.2">
      <c r="A202" s="34">
        <f>Request!B170</f>
        <v>0</v>
      </c>
      <c r="B202" s="4" t="str">
        <f>IF(Request!M170="non-UC","No","Yes")</f>
        <v>No</v>
      </c>
      <c r="C202" s="4">
        <f t="shared" si="18"/>
        <v>0</v>
      </c>
      <c r="D202" s="4">
        <f t="shared" si="18"/>
        <v>0</v>
      </c>
      <c r="E202" s="4">
        <f t="shared" si="18"/>
        <v>0</v>
      </c>
      <c r="F202" s="4">
        <f t="shared" si="18"/>
        <v>0</v>
      </c>
      <c r="G202" s="4">
        <f t="shared" si="18"/>
        <v>0</v>
      </c>
      <c r="H202" s="4">
        <f t="shared" si="19"/>
        <v>0</v>
      </c>
    </row>
    <row r="203" spans="1:8" x14ac:dyDescent="0.2">
      <c r="A203" s="34">
        <f>Request!B171</f>
        <v>0</v>
      </c>
      <c r="B203" s="4" t="str">
        <f>IF(Request!M171="non-UC","No","Yes")</f>
        <v>No</v>
      </c>
      <c r="C203" s="4">
        <f t="shared" si="18"/>
        <v>0</v>
      </c>
      <c r="D203" s="4">
        <f t="shared" si="18"/>
        <v>0</v>
      </c>
      <c r="E203" s="4">
        <f t="shared" si="18"/>
        <v>0</v>
      </c>
      <c r="F203" s="4">
        <f t="shared" si="18"/>
        <v>0</v>
      </c>
      <c r="G203" s="4">
        <f t="shared" si="18"/>
        <v>0</v>
      </c>
      <c r="H203" s="4">
        <f t="shared" si="19"/>
        <v>0</v>
      </c>
    </row>
    <row r="204" spans="1:8" x14ac:dyDescent="0.2">
      <c r="A204" s="34">
        <f>Request!B172</f>
        <v>0</v>
      </c>
      <c r="B204" s="4" t="str">
        <f>IF(Request!M172="non-UC","No","Yes")</f>
        <v>No</v>
      </c>
      <c r="C204" s="4">
        <f t="shared" si="18"/>
        <v>0</v>
      </c>
      <c r="D204" s="4">
        <f t="shared" si="18"/>
        <v>0</v>
      </c>
      <c r="E204" s="4">
        <f t="shared" si="18"/>
        <v>0</v>
      </c>
      <c r="F204" s="4">
        <f t="shared" si="18"/>
        <v>0</v>
      </c>
      <c r="G204" s="4">
        <f t="shared" si="18"/>
        <v>0</v>
      </c>
      <c r="H204" s="4">
        <f t="shared" si="19"/>
        <v>0</v>
      </c>
    </row>
    <row r="205" spans="1:8" x14ac:dyDescent="0.2">
      <c r="A205" s="34">
        <f>Request!B173</f>
        <v>0</v>
      </c>
      <c r="B205" s="4" t="str">
        <f>IF(Request!M173="non-UC","No","Yes")</f>
        <v>No</v>
      </c>
      <c r="C205" s="4">
        <f t="shared" si="18"/>
        <v>0</v>
      </c>
      <c r="D205" s="4">
        <f t="shared" si="18"/>
        <v>0</v>
      </c>
      <c r="E205" s="4">
        <f t="shared" si="18"/>
        <v>0</v>
      </c>
      <c r="F205" s="4">
        <f t="shared" si="18"/>
        <v>0</v>
      </c>
      <c r="G205" s="4">
        <f t="shared" si="18"/>
        <v>0</v>
      </c>
      <c r="H205" s="4">
        <f t="shared" si="19"/>
        <v>0</v>
      </c>
    </row>
    <row r="206" spans="1:8" x14ac:dyDescent="0.2">
      <c r="A206" s="34">
        <f>Request!B174</f>
        <v>0</v>
      </c>
      <c r="B206" s="4" t="str">
        <f>IF(Request!M174="non-UC","No","Yes")</f>
        <v>No</v>
      </c>
      <c r="C206" s="4">
        <f t="shared" si="18"/>
        <v>0</v>
      </c>
      <c r="D206" s="4">
        <f t="shared" si="18"/>
        <v>0</v>
      </c>
      <c r="E206" s="4">
        <f t="shared" si="18"/>
        <v>0</v>
      </c>
      <c r="F206" s="4">
        <f t="shared" si="18"/>
        <v>0</v>
      </c>
      <c r="G206" s="4">
        <f t="shared" si="18"/>
        <v>0</v>
      </c>
      <c r="H206" s="4">
        <f t="shared" si="19"/>
        <v>0</v>
      </c>
    </row>
    <row r="207" spans="1:8" x14ac:dyDescent="0.2">
      <c r="A207" s="34">
        <f>Request!B175</f>
        <v>0</v>
      </c>
      <c r="B207" s="4" t="str">
        <f>IF(Request!M175="non-UC","No","Yes")</f>
        <v>No</v>
      </c>
      <c r="C207" s="4">
        <f t="shared" si="18"/>
        <v>0</v>
      </c>
      <c r="D207" s="4">
        <f t="shared" si="18"/>
        <v>0</v>
      </c>
      <c r="E207" s="4">
        <f t="shared" si="18"/>
        <v>0</v>
      </c>
      <c r="F207" s="4">
        <f t="shared" si="18"/>
        <v>0</v>
      </c>
      <c r="G207" s="4">
        <f t="shared" si="18"/>
        <v>0</v>
      </c>
      <c r="H207" s="4">
        <f t="shared" si="19"/>
        <v>0</v>
      </c>
    </row>
    <row r="208" spans="1:8" x14ac:dyDescent="0.2">
      <c r="A208" s="34">
        <f>Request!B176</f>
        <v>0</v>
      </c>
      <c r="B208" s="4" t="str">
        <f>IF(Request!M176="non-UC","No","Yes")</f>
        <v>No</v>
      </c>
      <c r="C208" s="4">
        <f t="shared" si="18"/>
        <v>0</v>
      </c>
      <c r="D208" s="4">
        <f t="shared" si="18"/>
        <v>0</v>
      </c>
      <c r="E208" s="4">
        <f t="shared" si="18"/>
        <v>0</v>
      </c>
      <c r="F208" s="4">
        <f t="shared" si="18"/>
        <v>0</v>
      </c>
      <c r="G208" s="4">
        <f t="shared" si="18"/>
        <v>0</v>
      </c>
      <c r="H208" s="4">
        <f t="shared" si="19"/>
        <v>0</v>
      </c>
    </row>
    <row r="209" spans="1:21" x14ac:dyDescent="0.2">
      <c r="A209" s="34">
        <f>Request!B177</f>
        <v>0</v>
      </c>
      <c r="B209" s="4" t="str">
        <f>IF(Request!M177="non-UC","No","Yes")</f>
        <v>No</v>
      </c>
      <c r="C209" s="4">
        <f t="shared" si="18"/>
        <v>0</v>
      </c>
      <c r="D209" s="4">
        <f t="shared" si="18"/>
        <v>0</v>
      </c>
      <c r="E209" s="4">
        <f t="shared" si="18"/>
        <v>0</v>
      </c>
      <c r="F209" s="4">
        <f t="shared" si="18"/>
        <v>0</v>
      </c>
      <c r="G209" s="4">
        <f t="shared" si="18"/>
        <v>0</v>
      </c>
      <c r="H209" s="4">
        <f t="shared" si="19"/>
        <v>0</v>
      </c>
    </row>
    <row r="210" spans="1:21" x14ac:dyDescent="0.2">
      <c r="A210" s="34">
        <f>Request!B178</f>
        <v>0</v>
      </c>
      <c r="B210" s="4" t="str">
        <f>IF(Request!M178="non-UC","No","Yes")</f>
        <v>No</v>
      </c>
      <c r="C210" s="4">
        <f t="shared" si="18"/>
        <v>0</v>
      </c>
      <c r="D210" s="4">
        <f t="shared" si="18"/>
        <v>0</v>
      </c>
      <c r="E210" s="4">
        <f t="shared" si="18"/>
        <v>0</v>
      </c>
      <c r="F210" s="4">
        <f t="shared" si="18"/>
        <v>0</v>
      </c>
      <c r="G210" s="4">
        <f t="shared" si="18"/>
        <v>0</v>
      </c>
      <c r="H210" s="4">
        <f t="shared" si="19"/>
        <v>0</v>
      </c>
    </row>
    <row r="211" spans="1:21" x14ac:dyDescent="0.2">
      <c r="A211" s="34">
        <f>Request!B179</f>
        <v>0</v>
      </c>
      <c r="B211" s="4" t="str">
        <f>IF(Request!M179="non-UC","No","Yes")</f>
        <v>No</v>
      </c>
      <c r="C211" s="4">
        <f t="shared" si="18"/>
        <v>0</v>
      </c>
      <c r="D211" s="4">
        <f t="shared" si="18"/>
        <v>0</v>
      </c>
      <c r="E211" s="4">
        <f t="shared" si="18"/>
        <v>0</v>
      </c>
      <c r="F211" s="4">
        <f t="shared" si="18"/>
        <v>0</v>
      </c>
      <c r="G211" s="4">
        <f t="shared" si="18"/>
        <v>0</v>
      </c>
      <c r="H211" s="4">
        <f t="shared" si="19"/>
        <v>0</v>
      </c>
    </row>
    <row r="212" spans="1:21" x14ac:dyDescent="0.2">
      <c r="A212" s="34">
        <f>Request!B180</f>
        <v>0</v>
      </c>
      <c r="B212" s="4" t="str">
        <f>IF(Request!M180="non-UC","No","Yes")</f>
        <v>No</v>
      </c>
      <c r="C212" s="4">
        <f t="shared" si="18"/>
        <v>0</v>
      </c>
      <c r="D212" s="4">
        <f t="shared" si="18"/>
        <v>0</v>
      </c>
      <c r="E212" s="4">
        <f t="shared" si="18"/>
        <v>0</v>
      </c>
      <c r="F212" s="4">
        <f t="shared" si="18"/>
        <v>0</v>
      </c>
      <c r="G212" s="4">
        <f t="shared" si="18"/>
        <v>0</v>
      </c>
      <c r="H212" s="4">
        <f t="shared" si="19"/>
        <v>0</v>
      </c>
    </row>
    <row r="213" spans="1:21" x14ac:dyDescent="0.2">
      <c r="A213" s="34">
        <f>Request!B181</f>
        <v>0</v>
      </c>
      <c r="B213" s="4" t="str">
        <f>IF(Request!M181="non-UC","No","Yes")</f>
        <v>No</v>
      </c>
      <c r="C213" s="4">
        <f t="shared" si="18"/>
        <v>0</v>
      </c>
      <c r="D213" s="4">
        <f t="shared" si="18"/>
        <v>0</v>
      </c>
      <c r="E213" s="4">
        <f t="shared" si="18"/>
        <v>0</v>
      </c>
      <c r="F213" s="4">
        <f t="shared" si="18"/>
        <v>0</v>
      </c>
      <c r="G213" s="4">
        <f t="shared" si="18"/>
        <v>0</v>
      </c>
      <c r="H213" s="4">
        <f t="shared" si="19"/>
        <v>0</v>
      </c>
    </row>
    <row r="214" spans="1:21" x14ac:dyDescent="0.2">
      <c r="A214" s="34">
        <f>Request!B182</f>
        <v>0</v>
      </c>
      <c r="B214" s="4" t="str">
        <f>IF(Request!M182="non-UC","No","Yes")</f>
        <v>No</v>
      </c>
      <c r="C214" s="4">
        <f t="shared" si="18"/>
        <v>0</v>
      </c>
      <c r="D214" s="4">
        <f t="shared" si="18"/>
        <v>0</v>
      </c>
      <c r="E214" s="4">
        <f t="shared" si="18"/>
        <v>0</v>
      </c>
      <c r="F214" s="4">
        <f t="shared" si="18"/>
        <v>0</v>
      </c>
      <c r="G214" s="4">
        <f t="shared" si="18"/>
        <v>0</v>
      </c>
      <c r="H214" s="4">
        <f t="shared" si="19"/>
        <v>0</v>
      </c>
    </row>
    <row r="215" spans="1:21" x14ac:dyDescent="0.2">
      <c r="A215" s="323" t="s">
        <v>91</v>
      </c>
      <c r="B215" s="323"/>
      <c r="C215" s="35">
        <f>SUM(C188:C214)</f>
        <v>0</v>
      </c>
      <c r="D215" s="35">
        <f>SUM(D188:D214)</f>
        <v>0</v>
      </c>
      <c r="E215" s="35">
        <f>SUM(E188:E214)</f>
        <v>0</v>
      </c>
      <c r="F215" s="35">
        <f>SUM(F188:F214)</f>
        <v>0</v>
      </c>
      <c r="G215" s="35">
        <f>SUM(G188:G214)</f>
        <v>0</v>
      </c>
      <c r="H215" s="35">
        <f t="shared" si="16"/>
        <v>0</v>
      </c>
    </row>
    <row r="216" spans="1:21" x14ac:dyDescent="0.2">
      <c r="A216" s="37"/>
      <c r="B216" s="37"/>
      <c r="C216" s="38"/>
      <c r="D216" s="38"/>
      <c r="E216" s="38"/>
      <c r="F216" s="38"/>
      <c r="G216" s="38"/>
      <c r="H216" s="38"/>
    </row>
    <row r="217" spans="1:21" x14ac:dyDescent="0.2">
      <c r="I217" s="20"/>
      <c r="J217" s="20"/>
      <c r="K217" s="20"/>
      <c r="L217" s="20"/>
      <c r="M217" s="20"/>
      <c r="N217" s="20"/>
      <c r="O217" s="20"/>
      <c r="P217" s="20"/>
      <c r="Q217" s="20"/>
      <c r="R217" s="20"/>
    </row>
    <row r="218" spans="1:21" x14ac:dyDescent="0.2">
      <c r="A218" s="39" t="s">
        <v>63</v>
      </c>
      <c r="B218" s="4" t="s">
        <v>78</v>
      </c>
      <c r="C218" s="35">
        <f ca="1">Request!P61+Request!P86+Request!P133+Request!P140+Request!P153+SUM(Request!P217:P225)+Request!P202+SUMIF(Request!$N$227:$N$243,"Yes",Request!P227:P243)+Worksheet!C185</f>
        <v>42295</v>
      </c>
      <c r="D218" s="35">
        <f ca="1">Request!Q61+Request!Q86+Request!Q133+Request!Q140+Request!Q153+SUM(Request!Q217:Q225)+Request!Q202+SUMIF(Request!$N$227:$N$243,"Yes",Request!Q227:Q243)+Worksheet!D185</f>
        <v>43910</v>
      </c>
      <c r="E218" s="35">
        <f ca="1">Request!R61+Request!R86+Request!R133+Request!R140+Request!R153+SUM(Request!R217:R225)+Request!R202+SUMIF(Request!$N$227:$N$243,"Yes",Request!R227:R243)+Worksheet!E185</f>
        <v>45585</v>
      </c>
      <c r="F218" s="35">
        <f ca="1">Request!S61+Request!S86+Request!S133+Request!S140+Request!S153+SUM(Request!S217:S225)+Request!S202+SUMIF(Request!$N$227:$N$243,"Yes",Request!S227:S243)+Worksheet!F185</f>
        <v>0</v>
      </c>
      <c r="G218" s="35">
        <f ca="1">Request!T61+Request!T86+Request!T133+Request!T140+Request!T153+SUM(Request!T217:T225)+Request!T202+SUMIF(Request!$N$227:$N$243,"Yes",Request!T227:T243)+Worksheet!G185</f>
        <v>0</v>
      </c>
      <c r="H218" s="36">
        <f ca="1">SUM(C218:G218)</f>
        <v>131790</v>
      </c>
      <c r="I218" s="20"/>
      <c r="J218" s="20"/>
      <c r="K218" s="20"/>
      <c r="L218" s="20"/>
      <c r="M218" s="20"/>
      <c r="N218" s="20"/>
      <c r="O218" s="20"/>
      <c r="P218" s="20"/>
      <c r="Q218" s="20"/>
      <c r="R218" s="20"/>
    </row>
    <row r="219" spans="1:21" x14ac:dyDescent="0.2">
      <c r="A219" s="40"/>
      <c r="B219" s="4" t="s">
        <v>94</v>
      </c>
      <c r="C219" s="36">
        <f ca="1">Request!P248-Request!P183+Worksheet!C215</f>
        <v>42295</v>
      </c>
      <c r="D219" s="36">
        <f ca="1">IF(D4="",0,(Request!Q248-Request!Q183+Worksheet!D215))</f>
        <v>43910</v>
      </c>
      <c r="E219" s="36">
        <f ca="1">IF(E4="",0,(Request!R248-Request!R183+Worksheet!E215))</f>
        <v>45585</v>
      </c>
      <c r="F219" s="36">
        <f ca="1">IF(F4="",0,(Request!S248-Request!S183+Worksheet!F215))</f>
        <v>0</v>
      </c>
      <c r="G219" s="36">
        <f ca="1">IF(G4="",0,(Request!T248-Request!T183+Worksheet!G215))</f>
        <v>0</v>
      </c>
      <c r="H219" s="36">
        <f ca="1">SUM(C219:G219)</f>
        <v>131790</v>
      </c>
      <c r="I219" s="20"/>
      <c r="J219" s="20"/>
      <c r="K219" s="20"/>
      <c r="L219" s="20"/>
      <c r="M219" s="247"/>
      <c r="N219" s="20"/>
      <c r="O219" s="20"/>
      <c r="P219" s="20"/>
      <c r="Q219" s="20"/>
      <c r="R219" s="20"/>
    </row>
    <row r="220" spans="1:21" x14ac:dyDescent="0.2">
      <c r="A220" s="41"/>
      <c r="B220" s="4" t="s">
        <v>95</v>
      </c>
      <c r="C220" s="35">
        <f ca="1">ROUND((Request!P248-Request!P183+Worksheet!C215)/(1-Request!$N$251),0)</f>
        <v>46994</v>
      </c>
      <c r="D220" s="35">
        <f ca="1">IF(D4="",0,(ROUND((Request!Q248-Request!Q183+Worksheet!D215)/(1-Request!$N$251),0)))</f>
        <v>48789</v>
      </c>
      <c r="E220" s="35">
        <f ca="1">IF(E4="",0,(ROUND((Request!R248-Request!R183+Worksheet!E215)/(1-Request!$N$251),0)))</f>
        <v>50650</v>
      </c>
      <c r="F220" s="35">
        <f ca="1">IF(F4="",0,(ROUND((Request!S248-Request!S183+Worksheet!F215)/(1-Request!$N$251),0)))</f>
        <v>0</v>
      </c>
      <c r="G220" s="35">
        <f ca="1">IF(G4="",0,(ROUND((Request!T248-Request!T183+Worksheet!G215)/(1-Request!$N$251),0)))</f>
        <v>0</v>
      </c>
      <c r="H220" s="36">
        <f ca="1">SUM(C220:G220)</f>
        <v>146433</v>
      </c>
      <c r="I220" s="20"/>
      <c r="J220" s="20"/>
      <c r="K220" s="20"/>
      <c r="L220" s="20"/>
      <c r="M220" s="20"/>
      <c r="N220" s="20"/>
      <c r="O220" s="20"/>
      <c r="P220" s="20"/>
      <c r="Q220" s="20"/>
      <c r="R220" s="20"/>
    </row>
    <row r="221" spans="1:21" x14ac:dyDescent="0.2">
      <c r="B221" s="1" t="s">
        <v>185</v>
      </c>
      <c r="C221" s="180">
        <f>SUM(Request!P217:P225)</f>
        <v>0</v>
      </c>
      <c r="D221" s="180">
        <f>SUM(Request!Q217:Q225)</f>
        <v>0</v>
      </c>
      <c r="E221" s="180">
        <f>SUM(Request!R217:R225)</f>
        <v>0</v>
      </c>
      <c r="F221" s="180">
        <f>SUM(Request!S217:S225)</f>
        <v>0</v>
      </c>
      <c r="G221" s="180">
        <f>SUM(Request!T217:T225)</f>
        <v>0</v>
      </c>
      <c r="H221" s="180">
        <f>SUM(C221:G221)</f>
        <v>0</v>
      </c>
      <c r="I221" s="20"/>
      <c r="J221" s="20"/>
      <c r="K221" s="20"/>
      <c r="L221" s="20"/>
      <c r="M221" s="20"/>
      <c r="N221" s="20"/>
      <c r="O221" s="20"/>
      <c r="P221" s="20"/>
      <c r="Q221" s="20"/>
      <c r="R221" s="20"/>
    </row>
    <row r="222" spans="1:21" x14ac:dyDescent="0.2">
      <c r="A222" s="1" t="s">
        <v>101</v>
      </c>
      <c r="B222" s="1" t="str">
        <f>Request!D189</f>
        <v>Resident</v>
      </c>
      <c r="C222" s="1" t="s">
        <v>11</v>
      </c>
      <c r="D222" s="1" t="s">
        <v>141</v>
      </c>
      <c r="E222" s="3" t="s">
        <v>36</v>
      </c>
      <c r="F222" s="3" t="s">
        <v>37</v>
      </c>
      <c r="G222" s="3" t="s">
        <v>102</v>
      </c>
      <c r="H222" s="3" t="s">
        <v>103</v>
      </c>
      <c r="I222" s="59" t="s">
        <v>104</v>
      </c>
      <c r="J222" s="59" t="s">
        <v>105</v>
      </c>
      <c r="K222" s="98" t="s">
        <v>133</v>
      </c>
      <c r="L222" s="98" t="s">
        <v>134</v>
      </c>
      <c r="M222" s="98" t="s">
        <v>135</v>
      </c>
      <c r="N222" s="98" t="s">
        <v>136</v>
      </c>
      <c r="O222" s="98" t="s">
        <v>137</v>
      </c>
      <c r="P222" s="20"/>
      <c r="Q222" s="247"/>
      <c r="R222" s="20"/>
    </row>
    <row r="223" spans="1:21" x14ac:dyDescent="0.2">
      <c r="A223" s="4">
        <f>Request!A189</f>
        <v>0</v>
      </c>
      <c r="B223" s="21">
        <f>Request!H189</f>
        <v>0.1</v>
      </c>
      <c r="C223" s="35">
        <f>Request!I189</f>
        <v>17921</v>
      </c>
      <c r="D223" s="35">
        <f>IF(Request!$D$188="Use Buydown",C223*0.75,C223)</f>
        <v>13440.75</v>
      </c>
      <c r="E223" s="35">
        <f ca="1">IF(AND(Request!$H$188="AY",P223="A"),ROUND(D223*((1+B223)^($B$24-1)),0),IF(AND(Request!$H$188="AY",P223="B"),ROUND(D223*((1+B223)^($B$24)),D223),D223))</f>
        <v>13440.75</v>
      </c>
      <c r="F223" s="35">
        <f ca="1">IF(D$4=C$4,E223,ROUND(E223*(1+Request!$H189),0))</f>
        <v>14785</v>
      </c>
      <c r="G223" s="35">
        <f ca="1">IF(E$4=D$4,F223,ROUND(F223*(1+Request!$H189),0))</f>
        <v>16264</v>
      </c>
      <c r="H223" s="35">
        <f ca="1">IF(F$4=E$4,G223,ROUND(G223*(1+Request!$H189),0))</f>
        <v>17890</v>
      </c>
      <c r="I223" s="35">
        <f ca="1">IF(G$4=F$4,H223,ROUND(H223*(1+Request!$H189),0))</f>
        <v>19679</v>
      </c>
      <c r="J223" s="35">
        <f ca="1">IF(H$4=G$4,I223,ROUND(I223*(1+Request!$H189),0))</f>
        <v>21647</v>
      </c>
      <c r="K223" s="89">
        <f ca="1">IF(C$5=0,0,IF(Request!$H$188="AY",(E223/9*C$27+F223/9*C$28),Worksheet!E223/9*C$29))</f>
        <v>13440.75</v>
      </c>
      <c r="L223" s="89">
        <f ca="1">IF(D$5=0,0,IF(Request!$H$188="AY",(F223/9*D$27+G223/9*D$28),Worksheet!F223/9*D$29))</f>
        <v>14785</v>
      </c>
      <c r="M223" s="89">
        <f ca="1">IF(E$5=0,0,IF(Request!$H$188="AY",(G223/9*E$27+H223/9*E$28),Worksheet!G223/9*E$29))</f>
        <v>16264</v>
      </c>
      <c r="N223" s="89">
        <f ca="1">IF(F$5=0,0,IF(Request!$H$188="AY",(H223/9*F$27+I223/9*F$28),Worksheet!H223/9*F$29))</f>
        <v>17890</v>
      </c>
      <c r="O223" s="89">
        <f ca="1">IF(G$5=0,0,IF(Request!$H$188="AY",(I223/9*G$27+J223/9*G$28),Worksheet!I223/9*G$29))</f>
        <v>19679</v>
      </c>
      <c r="P223" s="20" t="s">
        <v>13</v>
      </c>
      <c r="Q223" s="89"/>
      <c r="R223" s="89"/>
      <c r="S223" s="89"/>
      <c r="T223" s="89"/>
      <c r="U223" s="89"/>
    </row>
    <row r="224" spans="1:21" x14ac:dyDescent="0.2">
      <c r="A224" s="4">
        <f>Request!A190</f>
        <v>0</v>
      </c>
      <c r="B224" s="21">
        <f>Request!H190</f>
        <v>0.1</v>
      </c>
      <c r="C224" s="35">
        <f>Request!I190</f>
        <v>17921</v>
      </c>
      <c r="D224" s="35">
        <f>IF(Request!$D$188="Use Buydown",C224*0.75,C224)</f>
        <v>13440.75</v>
      </c>
      <c r="E224" s="35">
        <f ca="1">IF(AND(Request!$H$188="AY",P224="A"),ROUND(D224*((1+B224)^($B$24-1)),0),IF(AND(Request!$H$188="AY",P224="B"),ROUND(D224*((1+B224)^($B$24)),D224),D224))</f>
        <v>13440.75</v>
      </c>
      <c r="F224" s="35">
        <f ca="1">IF(D$4=C$4,E224,ROUND(E224*(1+Request!$H190),0))</f>
        <v>14785</v>
      </c>
      <c r="G224" s="35">
        <f ca="1">IF(E$4=D$4,F224,ROUND(F224*(1+Request!$H190),0))</f>
        <v>16264</v>
      </c>
      <c r="H224" s="35">
        <f ca="1">IF(F$4=E$4,G224,ROUND(G224*(1+Request!$H190),0))</f>
        <v>17890</v>
      </c>
      <c r="I224" s="35">
        <f ca="1">IF(G$4=F$4,H224,ROUND(H224*(1+Request!$H190),0))</f>
        <v>19679</v>
      </c>
      <c r="J224" s="35">
        <f ca="1">IF(H$4=G$4,I224,ROUND(I224*(1+Request!$H190),0))</f>
        <v>21647</v>
      </c>
      <c r="K224" s="89">
        <f ca="1">IF(C$5=0,0,IF(Request!$H$188="AY",(E224/9*C$27+F224/9*C$28),Worksheet!E224/9*C$29))</f>
        <v>13440.75</v>
      </c>
      <c r="L224" s="89">
        <f ca="1">IF(D$5=0,0,IF(Request!$H$188="AY",(F224/9*D$27+G224/9*D$28),Worksheet!F224/9*D$29))</f>
        <v>14785</v>
      </c>
      <c r="M224" s="89">
        <f ca="1">IF(E$5=0,0,IF(Request!$H$188="AY",(G224/9*E$27+H224/9*E$28),Worksheet!G224/9*E$29))</f>
        <v>16264</v>
      </c>
      <c r="N224" s="89">
        <f ca="1">IF(F$5=0,0,IF(Request!$H$188="AY",(H224/9*F$27+I224/9*F$28),Worksheet!H224/9*F$29))</f>
        <v>17890</v>
      </c>
      <c r="O224" s="89">
        <f ca="1">IF(G$5=0,0,IF(Request!$H$188="AY",(I224/9*G$27+J224/9*G$28),Worksheet!I224/9*G$29))</f>
        <v>19679</v>
      </c>
      <c r="P224" s="20" t="s">
        <v>13</v>
      </c>
      <c r="Q224" s="89"/>
      <c r="R224" s="89"/>
      <c r="S224" s="89"/>
      <c r="T224" s="89"/>
      <c r="U224" s="89"/>
    </row>
    <row r="225" spans="1:24" x14ac:dyDescent="0.2">
      <c r="A225" s="4">
        <f>Request!A191</f>
        <v>0</v>
      </c>
      <c r="B225" s="21">
        <f>Request!H191</f>
        <v>0.1</v>
      </c>
      <c r="C225" s="35">
        <f>Request!I191</f>
        <v>33023</v>
      </c>
      <c r="D225" s="35">
        <f>IF(Request!$D$188="Use Buydown",C225*0.75,C225)</f>
        <v>24767.25</v>
      </c>
      <c r="E225" s="35">
        <f ca="1">IF(AND(Request!$H$188="AY",P225="A"),ROUND(D225*((1+B225)^($B$24-1)),0),IF(AND(Request!$H$188="AY",P225="B"),ROUND(D225*((1+B225)^($B$24)),D225),D225))</f>
        <v>24767.25</v>
      </c>
      <c r="F225" s="35">
        <f ca="1">IF(D$4=C$4,E225,ROUND(E225*(1+Request!$H191),0))</f>
        <v>27244</v>
      </c>
      <c r="G225" s="35">
        <f ca="1">IF(E$4=D$4,F225,ROUND(F225*(1+Request!$H191),0))</f>
        <v>29968</v>
      </c>
      <c r="H225" s="35">
        <f ca="1">IF(F$4=E$4,G225,ROUND(G225*(1+Request!$H191),0))</f>
        <v>32965</v>
      </c>
      <c r="I225" s="35">
        <f ca="1">IF(G$4=F$4,H225,ROUND(H225*(1+Request!$H191),0))</f>
        <v>36262</v>
      </c>
      <c r="J225" s="35">
        <f ca="1">IF(H$4=G$4,I225,ROUND(I225*(1+Request!$H191),0))</f>
        <v>39888</v>
      </c>
      <c r="K225" s="89">
        <f ca="1">IF(C$5=0,0,IF(Request!$H$188="AY",(E225/9*C$27+F225/9*C$28),Worksheet!E225/9*C$29))</f>
        <v>24767.25</v>
      </c>
      <c r="L225" s="89">
        <f ca="1">IF(D$5=0,0,IF(Request!$H$188="AY",(F225/9*D$27+G225/9*D$28),Worksheet!F225/9*D$29))</f>
        <v>27244</v>
      </c>
      <c r="M225" s="89">
        <f ca="1">IF(E$5=0,0,IF(Request!$H$188="AY",(G225/9*E$27+H225/9*E$28),Worksheet!G225/9*E$29))</f>
        <v>29968</v>
      </c>
      <c r="N225" s="89">
        <f ca="1">IF(F$5=0,0,IF(Request!$H$188="AY",(H225/9*F$27+I225/9*F$28),Worksheet!H225/9*F$29))</f>
        <v>32965</v>
      </c>
      <c r="O225" s="89">
        <f ca="1">IF(G$5=0,0,IF(Request!$H$188="AY",(I225/9*G$27+J225/9*G$28),Worksheet!I225/9*G$29))</f>
        <v>36262</v>
      </c>
      <c r="P225" s="20" t="s">
        <v>13</v>
      </c>
      <c r="Q225" s="89"/>
      <c r="R225" s="89"/>
      <c r="S225" s="89"/>
      <c r="T225" s="89"/>
      <c r="U225" s="89"/>
    </row>
    <row r="226" spans="1:24" x14ac:dyDescent="0.2">
      <c r="A226" s="4" t="str">
        <f>Request!A192</f>
        <v xml:space="preserve"> </v>
      </c>
      <c r="B226" s="21">
        <f>Request!H192</f>
        <v>0.1</v>
      </c>
      <c r="C226" s="35">
        <f>Request!I192</f>
        <v>17921</v>
      </c>
      <c r="D226" s="35">
        <f>IF(Request!$D$188="Use Buydown",C226*0.75,C226)</f>
        <v>13440.75</v>
      </c>
      <c r="E226" s="35">
        <f ca="1">IF(AND(Request!$H$188="AY",P226="A"),ROUND(D226*((1+B226)^($B$24-1)),0),IF(AND(Request!$H$188="AY",P226="B"),ROUND(D226*((1+B226)^($B$24)),D226),D226))</f>
        <v>13440.75</v>
      </c>
      <c r="F226" s="35">
        <f ca="1">IF(D$4=C$4,E226,ROUND(E226*(1+Request!$H192),0))</f>
        <v>14785</v>
      </c>
      <c r="G226" s="35">
        <f ca="1">IF(E$4=D$4,F226,ROUND(F226*(1+Request!$H192),0))</f>
        <v>16264</v>
      </c>
      <c r="H226" s="35">
        <f ca="1">IF(F$4=E$4,G226,ROUND(G226*(1+Request!$H192),0))</f>
        <v>17890</v>
      </c>
      <c r="I226" s="35">
        <f ca="1">IF(G$4=F$4,H226,ROUND(H226*(1+Request!$H192),0))</f>
        <v>19679</v>
      </c>
      <c r="J226" s="35">
        <f ca="1">IF(H$4=G$4,I226,ROUND(I226*(1+Request!$H192),0))</f>
        <v>21647</v>
      </c>
      <c r="K226" s="89">
        <f ca="1">IF(C$5=0,0,IF(Request!$H$188="AY",(E226/9*C$27+F226/9*C$28),Worksheet!E226/9*C$29))</f>
        <v>13440.75</v>
      </c>
      <c r="L226" s="89">
        <f ca="1">IF(D$5=0,0,IF(Request!$H$188="AY",(F226/9*D$27+G226/9*D$28),Worksheet!F226/9*D$29))</f>
        <v>14785</v>
      </c>
      <c r="M226" s="89">
        <f ca="1">IF(E$5=0,0,IF(Request!$H$188="AY",(G226/9*E$27+H226/9*E$28),Worksheet!G226/9*E$29))</f>
        <v>16264</v>
      </c>
      <c r="N226" s="89">
        <f ca="1">IF(F$5=0,0,IF(Request!$H$188="AY",(H226/9*F$27+I226/9*F$28),Worksheet!H226/9*F$29))</f>
        <v>17890</v>
      </c>
      <c r="O226" s="89">
        <f ca="1">IF(G$5=0,0,IF(Request!$H$188="AY",(I226/9*G$27+J226/9*G$28),Worksheet!I226/9*G$29))</f>
        <v>19679</v>
      </c>
      <c r="P226" s="20" t="s">
        <v>13</v>
      </c>
      <c r="Q226" s="89"/>
      <c r="R226" s="89"/>
      <c r="S226" s="89"/>
      <c r="T226" s="89"/>
      <c r="U226" s="89"/>
    </row>
    <row r="227" spans="1:24" x14ac:dyDescent="0.2">
      <c r="A227" s="4">
        <f>Request!A193</f>
        <v>0</v>
      </c>
      <c r="B227" s="21">
        <f>Request!H193</f>
        <v>0.1</v>
      </c>
      <c r="C227" s="35">
        <f>Request!I193</f>
        <v>17921</v>
      </c>
      <c r="D227" s="35">
        <f>IF(Request!$D$188="Use Buydown",C227*0.75,C227)</f>
        <v>13440.75</v>
      </c>
      <c r="E227" s="35">
        <f ca="1">IF(AND(Request!$H$188="AY",P227="A"),ROUND(D227*((1+B227)^($B$24-1)),0),IF(AND(Request!$H$188="AY",P227="B"),ROUND(D227*((1+B227)^($B$24)),D227),D227))</f>
        <v>13440.75</v>
      </c>
      <c r="F227" s="35">
        <f ca="1">IF(D$4=C$4,E227,ROUND(E227*(1+Request!$H193),0))</f>
        <v>14785</v>
      </c>
      <c r="G227" s="35">
        <f ca="1">IF(E$4=D$4,F227,ROUND(F227*(1+Request!$H193),0))</f>
        <v>16264</v>
      </c>
      <c r="H227" s="35">
        <f ca="1">IF(F$4=E$4,G227,ROUND(G227*(1+Request!$H193),0))</f>
        <v>17890</v>
      </c>
      <c r="I227" s="35">
        <f ca="1">IF(G$4=F$4,H227,ROUND(H227*(1+Request!$H193),0))</f>
        <v>19679</v>
      </c>
      <c r="J227" s="35">
        <f ca="1">IF(H$4=G$4,I227,ROUND(I227*(1+Request!$H193),0))</f>
        <v>21647</v>
      </c>
      <c r="K227" s="89">
        <f ca="1">IF(C$5=0,0,IF(Request!$H$188="AY",(E227/9*C$27+F227/9*C$28),Worksheet!E227/9*C$29))</f>
        <v>13440.75</v>
      </c>
      <c r="L227" s="89">
        <f ca="1">IF(D$5=0,0,IF(Request!$H$188="AY",(F227/9*D$27+G227/9*D$28),Worksheet!F227/9*D$29))</f>
        <v>14785</v>
      </c>
      <c r="M227" s="89">
        <f ca="1">IF(E$5=0,0,IF(Request!$H$188="AY",(G227/9*E$27+H227/9*E$28),Worksheet!G227/9*E$29))</f>
        <v>16264</v>
      </c>
      <c r="N227" s="89">
        <f ca="1">IF(F$5=0,0,IF(Request!$H$188="AY",(H227/9*F$27+I227/9*F$28),Worksheet!H227/9*F$29))</f>
        <v>17890</v>
      </c>
      <c r="O227" s="89">
        <f ca="1">IF(G$5=0,0,IF(Request!$H$188="AY",(I227/9*G$27+J227/9*G$28),Worksheet!I227/9*G$29))</f>
        <v>19679</v>
      </c>
      <c r="P227" s="20" t="s">
        <v>13</v>
      </c>
      <c r="Q227" s="89"/>
      <c r="R227" s="89"/>
      <c r="S227" s="89"/>
      <c r="T227" s="89"/>
      <c r="U227" s="89"/>
    </row>
    <row r="228" spans="1:24" x14ac:dyDescent="0.2">
      <c r="A228" s="4">
        <f>Request!A194</f>
        <v>0</v>
      </c>
      <c r="B228" s="21">
        <f>Request!H194</f>
        <v>0.1</v>
      </c>
      <c r="C228" s="35">
        <f>Request!I194</f>
        <v>17921</v>
      </c>
      <c r="D228" s="35">
        <f>IF(Request!$D$188="Use Buydown",C228*0.75,C228)</f>
        <v>13440.75</v>
      </c>
      <c r="E228" s="35">
        <f ca="1">IF(AND(Request!$H$188="AY",P228="A"),ROUND(D228*((1+B228)^($B$24-1)),0),IF(AND(Request!$H$188="AY",P228="B"),ROUND(D228*((1+B228)^($B$24)),D228),D228))</f>
        <v>13440.75</v>
      </c>
      <c r="F228" s="35">
        <f ca="1">IF(D$4=C$4,E228,ROUND(E228*(1+Request!$H194),0))</f>
        <v>14785</v>
      </c>
      <c r="G228" s="35">
        <f ca="1">IF(E$4=D$4,F228,ROUND(F228*(1+Request!$H194),0))</f>
        <v>16264</v>
      </c>
      <c r="H228" s="35">
        <f ca="1">IF(F$4=E$4,G228,ROUND(G228*(1+Request!$H194),0))</f>
        <v>17890</v>
      </c>
      <c r="I228" s="35">
        <f ca="1">IF(G$4=F$4,H228,ROUND(H228*(1+Request!$H194),0))</f>
        <v>19679</v>
      </c>
      <c r="J228" s="35">
        <f ca="1">IF(H$4=G$4,I228,ROUND(I228*(1+Request!$H194),0))</f>
        <v>21647</v>
      </c>
      <c r="K228" s="89">
        <f ca="1">IF(C$5=0,0,IF(Request!$H$188="AY",(E228/9*C$27+F228/9*C$28),Worksheet!E228/9*C$29))</f>
        <v>13440.75</v>
      </c>
      <c r="L228" s="89">
        <f ca="1">IF(D$5=0,0,IF(Request!$H$188="AY",(F228/9*D$27+G228/9*D$28),Worksheet!F228/9*D$29))</f>
        <v>14785</v>
      </c>
      <c r="M228" s="89">
        <f ca="1">IF(E$5=0,0,IF(Request!$H$188="AY",(G228/9*E$27+H228/9*E$28),Worksheet!G228/9*E$29))</f>
        <v>16264</v>
      </c>
      <c r="N228" s="89">
        <f ca="1">IF(F$5=0,0,IF(Request!$H$188="AY",(H228/9*F$27+I228/9*F$28),Worksheet!H228/9*F$29))</f>
        <v>17890</v>
      </c>
      <c r="O228" s="89">
        <f ca="1">IF(G$5=0,0,IF(Request!$H$188="AY",(I228/9*G$27+J228/9*G$28),Worksheet!I228/9*G$29))</f>
        <v>19679</v>
      </c>
      <c r="P228" s="20" t="s">
        <v>13</v>
      </c>
      <c r="Q228" s="89"/>
      <c r="R228" s="89"/>
      <c r="S228" s="89"/>
      <c r="T228" s="89"/>
      <c r="U228" s="89"/>
    </row>
    <row r="229" spans="1:24" x14ac:dyDescent="0.2">
      <c r="A229" s="4">
        <f>Request!A195</f>
        <v>0</v>
      </c>
      <c r="B229" s="21">
        <f>Request!H195</f>
        <v>0.1</v>
      </c>
      <c r="C229" s="35">
        <f>Request!I195</f>
        <v>17921</v>
      </c>
      <c r="D229" s="35">
        <f>IF(Request!$D$188="Use Buydown",C229*0.75,C229)</f>
        <v>13440.75</v>
      </c>
      <c r="E229" s="35">
        <f ca="1">IF(AND(Request!$H$188="AY",P229="A"),ROUND(D229*((1+B229)^($B$24-1)),0),IF(AND(Request!$H$188="AY",P229="B"),ROUND(D229*((1+B229)^($B$24)),D229),D229))</f>
        <v>13440.75</v>
      </c>
      <c r="F229" s="35">
        <f ca="1">IF(D$4=C$4,E229,ROUND(E229*(1+Request!$H195),0))</f>
        <v>14785</v>
      </c>
      <c r="G229" s="35">
        <f ca="1">IF(E$4=D$4,F229,ROUND(F229*(1+Request!$H195),0))</f>
        <v>16264</v>
      </c>
      <c r="H229" s="35">
        <f ca="1">IF(F$4=E$4,G229,ROUND(G229*(1+Request!$H195),0))</f>
        <v>17890</v>
      </c>
      <c r="I229" s="35">
        <f ca="1">IF(G$4=F$4,H229,ROUND(H229*(1+Request!$H195),0))</f>
        <v>19679</v>
      </c>
      <c r="J229" s="35">
        <f ca="1">IF(H$4=G$4,I229,ROUND(I229*(1+Request!$H195),0))</f>
        <v>21647</v>
      </c>
      <c r="K229" s="89">
        <f ca="1">IF(C$5=0,0,IF(Request!$H$188="AY",(E229/9*C$27+F229/9*C$28),Worksheet!E229/9*C$29))</f>
        <v>13440.75</v>
      </c>
      <c r="L229" s="89">
        <f ca="1">IF(D$5=0,0,IF(Request!$H$188="AY",(F229/9*D$27+G229/9*D$28),Worksheet!F229/9*D$29))</f>
        <v>14785</v>
      </c>
      <c r="M229" s="89">
        <f ca="1">IF(E$5=0,0,IF(Request!$H$188="AY",(G229/9*E$27+H229/9*E$28),Worksheet!G229/9*E$29))</f>
        <v>16264</v>
      </c>
      <c r="N229" s="89">
        <f ca="1">IF(F$5=0,0,IF(Request!$H$188="AY",(H229/9*F$27+I229/9*F$28),Worksheet!H229/9*F$29))</f>
        <v>17890</v>
      </c>
      <c r="O229" s="89">
        <f ca="1">IF(G$5=0,0,IF(Request!$H$188="AY",(I229/9*G$27+J229/9*G$28),Worksheet!I229/9*G$29))</f>
        <v>19679</v>
      </c>
      <c r="P229" s="20" t="s">
        <v>13</v>
      </c>
      <c r="Q229" s="89"/>
      <c r="R229" s="89"/>
      <c r="S229" s="89"/>
      <c r="T229" s="89"/>
      <c r="U229" s="89"/>
    </row>
    <row r="230" spans="1:24" x14ac:dyDescent="0.2">
      <c r="A230" s="4">
        <f>Request!A196</f>
        <v>0</v>
      </c>
      <c r="B230" s="21">
        <f>Request!H196</f>
        <v>0.1</v>
      </c>
      <c r="C230" s="35">
        <f>Request!I196</f>
        <v>17921</v>
      </c>
      <c r="D230" s="35">
        <f>IF(Request!$D$188="Use Buydown",C230*0.75,C230)</f>
        <v>13440.75</v>
      </c>
      <c r="E230" s="35">
        <f ca="1">IF(AND(Request!$H$188="AY",P230="A"),ROUND(D230*((1+B230)^($B$24-1)),0),IF(AND(Request!$H$188="AY",P230="B"),ROUND(D230*((1+B230)^($B$24)),D230),D230))</f>
        <v>13440.75</v>
      </c>
      <c r="F230" s="35">
        <f ca="1">IF(D$4=C$4,E230,ROUND(E230*(1+Request!$H196),0))</f>
        <v>14785</v>
      </c>
      <c r="G230" s="35">
        <f ca="1">IF(E$4=D$4,F230,ROUND(F230*(1+Request!$H196),0))</f>
        <v>16264</v>
      </c>
      <c r="H230" s="35">
        <f ca="1">IF(F$4=E$4,G230,ROUND(G230*(1+Request!$H196),0))</f>
        <v>17890</v>
      </c>
      <c r="I230" s="35">
        <f ca="1">IF(G$4=F$4,H230,ROUND(H230*(1+Request!$H196),0))</f>
        <v>19679</v>
      </c>
      <c r="J230" s="35">
        <f ca="1">IF(H$4=G$4,I230,ROUND(I230*(1+Request!$H196),0))</f>
        <v>21647</v>
      </c>
      <c r="K230" s="89">
        <f ca="1">IF(C$5=0,0,IF(Request!$H$188="AY",(E230/9*C$27+F230/9*C$28),Worksheet!E230/9*C$29))</f>
        <v>13440.75</v>
      </c>
      <c r="L230" s="89">
        <f ca="1">IF(D$5=0,0,IF(Request!$H$188="AY",(F230/9*D$27+G230/9*D$28),Worksheet!F230/9*D$29))</f>
        <v>14785</v>
      </c>
      <c r="M230" s="89">
        <f ca="1">IF(E$5=0,0,IF(Request!$H$188="AY",(G230/9*E$27+H230/9*E$28),Worksheet!G230/9*E$29))</f>
        <v>16264</v>
      </c>
      <c r="N230" s="89">
        <f ca="1">IF(F$5=0,0,IF(Request!$H$188="AY",(H230/9*F$27+I230/9*F$28),Worksheet!H230/9*F$29))</f>
        <v>17890</v>
      </c>
      <c r="O230" s="89">
        <f ca="1">IF(G$5=0,0,IF(Request!$H$188="AY",(I230/9*G$27+J230/9*G$28),Worksheet!I230/9*G$29))</f>
        <v>19679</v>
      </c>
      <c r="P230" s="20" t="s">
        <v>13</v>
      </c>
      <c r="Q230" s="89"/>
      <c r="R230" s="89"/>
      <c r="S230" s="89"/>
      <c r="T230" s="89"/>
      <c r="U230" s="89"/>
    </row>
    <row r="231" spans="1:24" x14ac:dyDescent="0.2">
      <c r="A231" s="4">
        <f>Request!A197</f>
        <v>0</v>
      </c>
      <c r="B231" s="21">
        <f>Request!H197</f>
        <v>0.1</v>
      </c>
      <c r="C231" s="35">
        <f>Request!I197</f>
        <v>17921</v>
      </c>
      <c r="D231" s="35">
        <f>IF(Request!$D$188="Use Buydown",C231*0.75,C231)</f>
        <v>13440.75</v>
      </c>
      <c r="E231" s="35">
        <f ca="1">IF(AND(Request!$H$188="AY",P231="A"),ROUND(D231*((1+B231)^($B$24-1)),0),IF(AND(Request!$H$188="AY",P231="B"),ROUND(D231*((1+B231)^($B$24)),D231),D231))</f>
        <v>13440.75</v>
      </c>
      <c r="F231" s="35">
        <f ca="1">IF(D$4=C$4,E231,ROUND(E231*(1+Request!$H197),0))</f>
        <v>14785</v>
      </c>
      <c r="G231" s="35">
        <f ca="1">IF(E$4=D$4,F231,ROUND(F231*(1+Request!$H197),0))</f>
        <v>16264</v>
      </c>
      <c r="H231" s="35">
        <f ca="1">IF(F$4=E$4,G231,ROUND(G231*(1+Request!$H197),0))</f>
        <v>17890</v>
      </c>
      <c r="I231" s="35">
        <f ca="1">IF(G$4=F$4,H231,ROUND(H231*(1+Request!$H197),0))</f>
        <v>19679</v>
      </c>
      <c r="J231" s="35">
        <f ca="1">IF(H$4=G$4,I231,ROUND(I231*(1+Request!$H197),0))</f>
        <v>21647</v>
      </c>
      <c r="K231" s="89">
        <f ca="1">IF(C$5=0,0,IF(Request!$H$188="AY",(E231/9*C$27+F231/9*C$28),Worksheet!E231/9*C$29))</f>
        <v>13440.75</v>
      </c>
      <c r="L231" s="89">
        <f ca="1">IF(D$5=0,0,IF(Request!$H$188="AY",(F231/9*D$27+G231/9*D$28),Worksheet!F231/9*D$29))</f>
        <v>14785</v>
      </c>
      <c r="M231" s="89">
        <f ca="1">IF(E$5=0,0,IF(Request!$H$188="AY",(G231/9*E$27+H231/9*E$28),Worksheet!G231/9*E$29))</f>
        <v>16264</v>
      </c>
      <c r="N231" s="89">
        <f ca="1">IF(F$5=0,0,IF(Request!$H$188="AY",(H231/9*F$27+I231/9*F$28),Worksheet!H231/9*F$29))</f>
        <v>17890</v>
      </c>
      <c r="O231" s="89">
        <f ca="1">IF(G$5=0,0,IF(Request!$H$188="AY",(I231/9*G$27+J231/9*G$28),Worksheet!I231/9*G$29))</f>
        <v>19679</v>
      </c>
      <c r="P231" s="20" t="s">
        <v>13</v>
      </c>
      <c r="Q231" s="89"/>
      <c r="R231" s="89"/>
      <c r="S231" s="89"/>
      <c r="T231" s="89"/>
      <c r="U231" s="89"/>
    </row>
    <row r="232" spans="1:24" x14ac:dyDescent="0.2">
      <c r="A232" s="4">
        <f>Request!A198</f>
        <v>0</v>
      </c>
      <c r="B232" s="21">
        <f>Request!H198</f>
        <v>0.1</v>
      </c>
      <c r="C232" s="35">
        <f>Request!I198</f>
        <v>17921</v>
      </c>
      <c r="D232" s="35">
        <f>IF(Request!$D$188="Use Buydown",C232*0.75,C232)</f>
        <v>13440.75</v>
      </c>
      <c r="E232" s="35">
        <f ca="1">IF(AND(Request!$H$188="AY",P232="A"),ROUND(D232*((1+B232)^($B$24-1)),0),IF(AND(Request!$H$188="AY",P232="B"),ROUND(D232*((1+B232)^($B$24)),D232),D232))</f>
        <v>13440.75</v>
      </c>
      <c r="F232" s="35">
        <f ca="1">IF(D$4=C$4,E232,ROUND(E232*(1+Request!$H198),0))</f>
        <v>14785</v>
      </c>
      <c r="G232" s="35">
        <f ca="1">IF(E$4=D$4,F232,ROUND(F232*(1+Request!$H198),0))</f>
        <v>16264</v>
      </c>
      <c r="H232" s="35">
        <f ca="1">IF(F$4=E$4,G232,ROUND(G232*(1+Request!$H198),0))</f>
        <v>17890</v>
      </c>
      <c r="I232" s="35">
        <f ca="1">IF(G$4=F$4,H232,ROUND(H232*(1+Request!$H198),0))</f>
        <v>19679</v>
      </c>
      <c r="J232" s="35">
        <f ca="1">IF(H$4=G$4,I232,ROUND(I232*(1+Request!$H198),0))</f>
        <v>21647</v>
      </c>
      <c r="K232" s="89">
        <f ca="1">IF(C$5=0,0,IF(Request!$H$188="AY",(E232/9*C$27+F232/9*C$28),Worksheet!E232/9*C$29))</f>
        <v>13440.75</v>
      </c>
      <c r="L232" s="89">
        <f ca="1">IF(D$5=0,0,IF(Request!$H$188="AY",(F232/9*D$27+G232/9*D$28),Worksheet!F232/9*D$29))</f>
        <v>14785</v>
      </c>
      <c r="M232" s="89">
        <f ca="1">IF(E$5=0,0,IF(Request!$H$188="AY",(G232/9*E$27+H232/9*E$28),Worksheet!G232/9*E$29))</f>
        <v>16264</v>
      </c>
      <c r="N232" s="89">
        <f ca="1">IF(F$5=0,0,IF(Request!$H$188="AY",(H232/9*F$27+I232/9*F$28),Worksheet!H232/9*F$29))</f>
        <v>17890</v>
      </c>
      <c r="O232" s="89">
        <f ca="1">IF(G$5=0,0,IF(Request!$H$188="AY",(I232/9*G$27+J232/9*G$28),Worksheet!I232/9*G$29))</f>
        <v>19679</v>
      </c>
      <c r="P232" s="20" t="s">
        <v>13</v>
      </c>
      <c r="Q232" s="89"/>
      <c r="R232" s="89"/>
      <c r="S232" s="89"/>
      <c r="T232" s="89"/>
      <c r="U232" s="89"/>
    </row>
    <row r="233" spans="1:24" x14ac:dyDescent="0.2">
      <c r="A233" s="4">
        <f>Request!A199</f>
        <v>0</v>
      </c>
      <c r="B233" s="21">
        <f>Request!H199</f>
        <v>0.1</v>
      </c>
      <c r="C233" s="35">
        <f>Request!I199</f>
        <v>17921</v>
      </c>
      <c r="D233" s="35">
        <f>IF(Request!$D$188="Use Buydown",C233*0.75,C233)</f>
        <v>13440.75</v>
      </c>
      <c r="E233" s="35">
        <f ca="1">IF(AND(Request!$H$188="AY",P233="A"),ROUND(D233*((1+B233)^($B$24-1)),0),IF(AND(Request!$H$188="AY",P233="B"),ROUND(D233*((1+B233)^($B$24)),D233),D233))</f>
        <v>13440.75</v>
      </c>
      <c r="F233" s="35">
        <f ca="1">IF(D$4=C$4,E233,ROUND(E233*(1+Request!$H199),0))</f>
        <v>14785</v>
      </c>
      <c r="G233" s="35">
        <f ca="1">IF(E$4=D$4,F233,ROUND(F233*(1+Request!$H199),0))</f>
        <v>16264</v>
      </c>
      <c r="H233" s="35">
        <f ca="1">IF(F$4=E$4,G233,ROUND(G233*(1+Request!$H199),0))</f>
        <v>17890</v>
      </c>
      <c r="I233" s="35">
        <f ca="1">IF(G$4=F$4,H233,ROUND(H233*(1+Request!$H199),0))</f>
        <v>19679</v>
      </c>
      <c r="J233" s="35">
        <f ca="1">IF(H$4=G$4,I233,ROUND(I233*(1+Request!$H199),0))</f>
        <v>21647</v>
      </c>
      <c r="K233" s="89">
        <f ca="1">IF(C$5=0,0,IF(Request!$H$188="AY",(E233/9*C$27+F233/9*C$28),Worksheet!E233/9*C$29))</f>
        <v>13440.75</v>
      </c>
      <c r="L233" s="89">
        <f ca="1">IF(D$5=0,0,IF(Request!$H$188="AY",(F233/9*D$27+G233/9*D$28),Worksheet!F233/9*D$29))</f>
        <v>14785</v>
      </c>
      <c r="M233" s="89">
        <f ca="1">IF(E$5=0,0,IF(Request!$H$188="AY",(G233/9*E$27+H233/9*E$28),Worksheet!G233/9*E$29))</f>
        <v>16264</v>
      </c>
      <c r="N233" s="89">
        <f ca="1">IF(F$5=0,0,IF(Request!$H$188="AY",(H233/9*F$27+I233/9*F$28),Worksheet!H233/9*F$29))</f>
        <v>17890</v>
      </c>
      <c r="O233" s="89">
        <f ca="1">IF(G$5=0,0,IF(Request!$H$188="AY",(I233/9*G$27+J233/9*G$28),Worksheet!I233/9*G$29))</f>
        <v>19679</v>
      </c>
      <c r="P233" s="20" t="s">
        <v>13</v>
      </c>
      <c r="Q233" s="89"/>
      <c r="R233" s="89"/>
      <c r="S233" s="89"/>
      <c r="T233" s="89"/>
      <c r="U233" s="89"/>
    </row>
    <row r="234" spans="1:24" x14ac:dyDescent="0.2">
      <c r="A234" s="4">
        <f>Request!A200</f>
        <v>0</v>
      </c>
      <c r="B234" s="21">
        <f>Request!H200</f>
        <v>0.1</v>
      </c>
      <c r="C234" s="35">
        <f>Request!I200</f>
        <v>17921</v>
      </c>
      <c r="D234" s="35">
        <f>IF(Request!$D$188="Use Buydown",C234*0.75,C234)</f>
        <v>13440.75</v>
      </c>
      <c r="E234" s="35">
        <f ca="1">IF(AND(Request!$H$188="AY",P234="A"),ROUND(D234*((1+B234)^($B$24-1)),0),IF(AND(Request!$H$188="AY",P234="B"),ROUND(D234*((1+B234)^($B$24)),D234),D234))</f>
        <v>13440.75</v>
      </c>
      <c r="F234" s="35">
        <f ca="1">IF(D$4=C$4,E234,ROUND(E234*(1+Request!$H200),0))</f>
        <v>14785</v>
      </c>
      <c r="G234" s="35">
        <f ca="1">IF(E$4=D$4,F234,ROUND(F234*(1+Request!$H200),0))</f>
        <v>16264</v>
      </c>
      <c r="H234" s="35">
        <f ca="1">IF(F$4=E$4,G234,ROUND(G234*(1+Request!$H200),0))</f>
        <v>17890</v>
      </c>
      <c r="I234" s="35">
        <f ca="1">IF(G$4=F$4,H234,ROUND(H234*(1+Request!$H200),0))</f>
        <v>19679</v>
      </c>
      <c r="J234" s="35">
        <f ca="1">IF(H$4=G$4,I234,ROUND(I234*(1+Request!$H200),0))</f>
        <v>21647</v>
      </c>
      <c r="K234" s="89">
        <f ca="1">IF(C$5=0,0,IF(Request!$H$188="AY",(E234/9*C$27+F234/9*C$28),Worksheet!E234/9*C$29))</f>
        <v>13440.75</v>
      </c>
      <c r="L234" s="89">
        <f ca="1">IF(D$5=0,0,IF(Request!$H$188="AY",(F234/9*D$27+G234/9*D$28),Worksheet!F234/9*D$29))</f>
        <v>14785</v>
      </c>
      <c r="M234" s="89">
        <f ca="1">IF(E$5=0,0,IF(Request!$H$188="AY",(G234/9*E$27+H234/9*E$28),Worksheet!G234/9*E$29))</f>
        <v>16264</v>
      </c>
      <c r="N234" s="89">
        <f ca="1">IF(F$5=0,0,IF(Request!$H$188="AY",(H234/9*F$27+I234/9*F$28),Worksheet!H234/9*F$29))</f>
        <v>17890</v>
      </c>
      <c r="O234" s="89">
        <f ca="1">IF(G$5=0,0,IF(Request!$H$188="AY",(I234/9*G$27+J234/9*G$28),Worksheet!I234/9*G$29))</f>
        <v>19679</v>
      </c>
      <c r="P234" s="20" t="s">
        <v>13</v>
      </c>
      <c r="Q234" s="89"/>
      <c r="R234" s="89"/>
      <c r="S234" s="89"/>
      <c r="T234" s="89"/>
      <c r="U234" s="89"/>
    </row>
    <row r="236" spans="1:24" x14ac:dyDescent="0.2">
      <c r="D236" s="32"/>
      <c r="E236" s="32"/>
      <c r="N236" s="246"/>
      <c r="O236" s="16"/>
      <c r="P236" s="16"/>
    </row>
    <row r="237" spans="1:24" x14ac:dyDescent="0.2">
      <c r="A237" s="2" t="s">
        <v>106</v>
      </c>
      <c r="N237" s="16"/>
      <c r="O237" s="16"/>
      <c r="P237" s="16"/>
    </row>
    <row r="238" spans="1:24" x14ac:dyDescent="0.2">
      <c r="A238" s="34" t="str">
        <f>Request!B8</f>
        <v>Jeffries - PI (AY)</v>
      </c>
      <c r="B238" s="106">
        <f>C5</f>
        <v>12</v>
      </c>
      <c r="C238" s="106">
        <f>D5</f>
        <v>12</v>
      </c>
      <c r="D238" s="106">
        <f>E5</f>
        <v>12</v>
      </c>
      <c r="E238" s="106">
        <f>F5</f>
        <v>12</v>
      </c>
      <c r="F238" s="106">
        <f>G5</f>
        <v>12</v>
      </c>
      <c r="G238" s="60">
        <f>Request!N8</f>
        <v>0</v>
      </c>
      <c r="H238" s="60">
        <f>IF('Personnel Reference'!$Q4="No",(Request!H8*B238/12*Request!$N8),(Request!H8*Worksheet!B238))</f>
        <v>1.7999999999999998</v>
      </c>
      <c r="I238" s="60">
        <f>IF('Personnel Reference'!$Q4="No",(Request!I8*C238/12*Request!$N8),(Request!I8*Worksheet!C238))</f>
        <v>1.7999999999999998</v>
      </c>
      <c r="J238" s="60">
        <f>IF('Personnel Reference'!$Q4="No",(Request!J8*D238/12*Request!$N8),(Request!J8*Worksheet!D238))</f>
        <v>1.7999999999999998</v>
      </c>
      <c r="K238" s="60">
        <f>IF('Personnel Reference'!$Q4="No",(Request!K8*E238/12*Request!$N8),(Request!K8*Worksheet!E238))</f>
        <v>0</v>
      </c>
      <c r="L238" s="60">
        <f>IF('Personnel Reference'!$Q4="No",(Request!L8*F238/12*Request!$N8),(Request!L8*Worksheet!F238))</f>
        <v>0</v>
      </c>
      <c r="M238" s="1" t="str">
        <f>Request!E36</f>
        <v xml:space="preserve"> Faculty, Acad, MSP, Safety (C )</v>
      </c>
      <c r="N238" s="267">
        <f>IF(M238="Choose",0,INDEX(Worksheet!$B$55:$B$71,MATCH(Worksheet!$M238,Worksheet!$A$55:$A$71,0)))</f>
        <v>0.38400000000000001</v>
      </c>
      <c r="O238" s="269">
        <f>IF(M238="Choose",0,INDEX(Worksheet!$C$55:$C$71,MATCH(Worksheet!$M238,Worksheet!$A$55:$A$71,0)))</f>
        <v>0.39600000000000002</v>
      </c>
      <c r="P238" s="267">
        <f>IF(M238="Choose",0,INDEX(Worksheet!$D$55:$D$71,MATCH(Worksheet!$M238,Worksheet!$A$55:$A$71,0)))</f>
        <v>0.39600000000000002</v>
      </c>
      <c r="Q238" s="269">
        <f>IF(M238="Choose",0,INDEX(Worksheet!$E$55:$E$71,MATCH(Worksheet!$M238,Worksheet!$A$55:$A$71,0)))</f>
        <v>0.40799999999999997</v>
      </c>
      <c r="R238" s="267">
        <f>IF(M238="Choose",0,INDEX(Worksheet!$F$55:$F$71,MATCH(Worksheet!$M238,Worksheet!$A$55:$A$71,0)))</f>
        <v>0.40799999999999997</v>
      </c>
      <c r="S238" s="269">
        <f>IF(M238="Choose",0,INDEX(Worksheet!$G$55:$G$71,MATCH(Worksheet!$M238,Worksheet!$A$55:$A$71,0)))</f>
        <v>0.42</v>
      </c>
      <c r="T238" s="267">
        <f>IF(M238="Choose",0,INDEX(Worksheet!$H$55:$H$71,MATCH(Worksheet!$M238,Worksheet!$A$55:$A$71,0)))</f>
        <v>0.42</v>
      </c>
      <c r="U238" s="269">
        <f>IF(M238="Choose",0,INDEX(Worksheet!$I$55:$I$71,MATCH(Worksheet!$M238,Worksheet!$A$55:$A$71,0)))</f>
        <v>0.433</v>
      </c>
      <c r="V238" s="268">
        <f>IF(M238="Choose",0,INDEX(Worksheet!$J$55:$J$71,MATCH(Worksheet!$M238,Worksheet!$A$55:$A$71,0)))</f>
        <v>0.433</v>
      </c>
      <c r="W238" s="269">
        <f>IF(M238="Choose",0,INDEX(Worksheet!$K$55:$K$71,MATCH(Worksheet!$M238,Worksheet!$A$55:$A$71,0)))</f>
        <v>0.44600000000000001</v>
      </c>
      <c r="X238" s="1">
        <f>N238</f>
        <v>0.38400000000000001</v>
      </c>
    </row>
    <row r="239" spans="1:24" x14ac:dyDescent="0.2">
      <c r="A239" s="34" t="str">
        <f>Request!B9</f>
        <v>Jeffries - PI (Summer)</v>
      </c>
      <c r="B239" s="106">
        <f>B238</f>
        <v>12</v>
      </c>
      <c r="C239" s="106">
        <f>C238</f>
        <v>12</v>
      </c>
      <c r="D239" s="106">
        <f>D238</f>
        <v>12</v>
      </c>
      <c r="E239" s="106">
        <f>E238</f>
        <v>12</v>
      </c>
      <c r="F239" s="106">
        <f>F238</f>
        <v>12</v>
      </c>
      <c r="G239" s="60">
        <f>Request!N9</f>
        <v>0</v>
      </c>
      <c r="H239" s="60">
        <f>IF('Personnel Reference'!Q5="No",(Request!H9*B239/12*Request!$N9),(Request!H9*Worksheet!B239))</f>
        <v>0.30000000000000004</v>
      </c>
      <c r="I239" s="60">
        <f>IF('Personnel Reference'!$Q5="No",(Request!I9*C239/12*Request!$N9),(Request!I9*Worksheet!C239))</f>
        <v>0.30000000000000004</v>
      </c>
      <c r="J239" s="60">
        <f>IF('Personnel Reference'!$Q5="No",(Request!J9*D239/12*Request!$N9),(Request!J9*Worksheet!D239))</f>
        <v>0.30000000000000004</v>
      </c>
      <c r="K239" s="60">
        <f>IF('Personnel Reference'!$Q5="No",(Request!K9*E239/12*Request!$N9),(Request!K9*Worksheet!E239))</f>
        <v>0</v>
      </c>
      <c r="L239" s="60">
        <f>IF('Personnel Reference'!$Q5="No",(Request!L9*F239/12*Request!$N9),(Request!L9*Worksheet!F239))</f>
        <v>0</v>
      </c>
      <c r="M239" s="1" t="str">
        <f>Request!E37</f>
        <v xml:space="preserve"> Faculty Summer-A</v>
      </c>
      <c r="N239" s="267" t="e">
        <f>IF(M239="Choose",0,INDEX(Worksheet!$B$55:$B$71,MATCH(Worksheet!$M239,Worksheet!$A$55:$A$71,0)))</f>
        <v>#N/A</v>
      </c>
      <c r="O239" s="269" t="e">
        <f>IF(M239="Choose",0,INDEX(Worksheet!$C$55:$C$71,MATCH(Worksheet!$M239,Worksheet!$A$55:$A$71,0)))</f>
        <v>#N/A</v>
      </c>
      <c r="P239" s="267" t="e">
        <f>IF(M239="Choose",0,INDEX(Worksheet!$D$55:$D$71,MATCH(Worksheet!$M239,Worksheet!$A$55:$A$71,0)))</f>
        <v>#N/A</v>
      </c>
      <c r="Q239" s="269" t="e">
        <f>IF(M239="Choose",0,INDEX(Worksheet!$E$55:$E$71,MATCH(Worksheet!$M239,Worksheet!$A$55:$A$71,0)))</f>
        <v>#N/A</v>
      </c>
      <c r="R239" s="267" t="e">
        <f>IF(M239="Choose",0,INDEX(Worksheet!$F$55:$F$71,MATCH(Worksheet!$M239,Worksheet!$A$55:$A$71,0)))</f>
        <v>#N/A</v>
      </c>
      <c r="S239" s="269" t="e">
        <f>IF(M239="Choose",0,INDEX(Worksheet!$G$55:$G$71,MATCH(Worksheet!$M239,Worksheet!$A$55:$A$71,0)))</f>
        <v>#N/A</v>
      </c>
      <c r="T239" s="267" t="e">
        <f>IF(M239="Choose",0,INDEX(Worksheet!$H$55:$H$71,MATCH(Worksheet!$M239,Worksheet!$A$55:$A$71,0)))</f>
        <v>#N/A</v>
      </c>
      <c r="U239" s="269" t="e">
        <f>IF(M239="Choose",0,INDEX(Worksheet!$I$55:$I$71,MATCH(Worksheet!$M239,Worksheet!$A$55:$A$71,0)))</f>
        <v>#N/A</v>
      </c>
      <c r="V239" s="268" t="e">
        <f>IF(M239="Choose",0,INDEX(Worksheet!$J$55:$J$71,MATCH(Worksheet!$M239,Worksheet!$A$55:$A$71,0)))</f>
        <v>#N/A</v>
      </c>
      <c r="W239" s="269" t="e">
        <f>IF(M239="Choose",0,INDEX(Worksheet!$K$55:$K$71,MATCH(Worksheet!$M239,Worksheet!$A$55:$A$71,0)))</f>
        <v>#N/A</v>
      </c>
    </row>
    <row r="240" spans="1:24" x14ac:dyDescent="0.2">
      <c r="A240" s="34">
        <f>Request!B10</f>
        <v>0</v>
      </c>
      <c r="B240" s="106">
        <f t="shared" ref="B240:B261" si="20">B239</f>
        <v>12</v>
      </c>
      <c r="C240" s="106">
        <f t="shared" ref="C240:C261" si="21">C239</f>
        <v>12</v>
      </c>
      <c r="D240" s="106">
        <f t="shared" ref="D240:D261" si="22">D239</f>
        <v>12</v>
      </c>
      <c r="E240" s="106">
        <f t="shared" ref="E240:E261" si="23">E239</f>
        <v>12</v>
      </c>
      <c r="F240" s="106">
        <f t="shared" ref="F240:F261" si="24">F239</f>
        <v>12</v>
      </c>
      <c r="G240" s="60">
        <f>Request!N10</f>
        <v>0</v>
      </c>
      <c r="H240" s="60">
        <f>IF('Personnel Reference'!Q6="No",(Request!H10*B240/12*Request!$N10),(Request!H10*Worksheet!B240))</f>
        <v>0</v>
      </c>
      <c r="I240" s="60">
        <f>IF('Personnel Reference'!$Q6="No",(Request!I10*C240/12*Request!$N10),(Request!I10*Worksheet!C240))</f>
        <v>0</v>
      </c>
      <c r="J240" s="60">
        <f>IF('Personnel Reference'!$Q6="No",(Request!J10*D240/12*Request!$N10),(Request!J10*Worksheet!D240))</f>
        <v>0</v>
      </c>
      <c r="K240" s="60">
        <f>IF('Personnel Reference'!$Q6="No",(Request!K10*E240/12*Request!$N10),(Request!K10*Worksheet!E240))</f>
        <v>0</v>
      </c>
      <c r="L240" s="60">
        <f>IF('Personnel Reference'!$Q6="No",(Request!L10*F240/12*Request!$N10),(Request!L10*Worksheet!F240))</f>
        <v>0</v>
      </c>
      <c r="M240" s="1" t="str">
        <f>Request!E38</f>
        <v>Choose</v>
      </c>
      <c r="N240" s="267">
        <f>IF(M240="Choose",0,INDEX(Worksheet!$B$55:$B$71,MATCH(Worksheet!$M240,Worksheet!$A$55:$A$71,0)))</f>
        <v>0</v>
      </c>
      <c r="O240" s="269">
        <f>IF(M240="Choose",0,INDEX(Worksheet!$C$55:$C$71,MATCH(Worksheet!$M240,Worksheet!$A$55:$A$71,0)))</f>
        <v>0</v>
      </c>
      <c r="P240" s="267">
        <f>IF(M240="Choose",0,INDEX(Worksheet!$D$55:$D$71,MATCH(Worksheet!$M240,Worksheet!$A$55:$A$71,0)))</f>
        <v>0</v>
      </c>
      <c r="Q240" s="269">
        <f>IF(M240="Choose",0,INDEX(Worksheet!$E$55:$E$71,MATCH(Worksheet!$M240,Worksheet!$A$55:$A$71,0)))</f>
        <v>0</v>
      </c>
      <c r="R240" s="267">
        <f>IF(M240="Choose",0,INDEX(Worksheet!$F$55:$F$71,MATCH(Worksheet!$M240,Worksheet!$A$55:$A$71,0)))</f>
        <v>0</v>
      </c>
      <c r="S240" s="269">
        <f>IF(M240="Choose",0,INDEX(Worksheet!$G$55:$G$71,MATCH(Worksheet!$M240,Worksheet!$A$55:$A$71,0)))</f>
        <v>0</v>
      </c>
      <c r="T240" s="267">
        <f>IF(M240="Choose",0,INDEX(Worksheet!$H$55:$H$71,MATCH(Worksheet!$M240,Worksheet!$A$55:$A$71,0)))</f>
        <v>0</v>
      </c>
      <c r="U240" s="269">
        <f>IF(M240="Choose",0,INDEX(Worksheet!$I$55:$I$71,MATCH(Worksheet!$M240,Worksheet!$A$55:$A$71,0)))</f>
        <v>0</v>
      </c>
      <c r="V240" s="268">
        <f>IF(M240="Choose",0,INDEX(Worksheet!$J$55:$J$71,MATCH(Worksheet!$M240,Worksheet!$A$55:$A$71,0)))</f>
        <v>0</v>
      </c>
      <c r="W240" s="269">
        <f>IF(M240="Choose",0,INDEX(Worksheet!$K$55:$K$71,MATCH(Worksheet!$M240,Worksheet!$A$55:$A$71,0)))</f>
        <v>0</v>
      </c>
    </row>
    <row r="241" spans="1:23" x14ac:dyDescent="0.2">
      <c r="A241" s="34">
        <f>Request!B11</f>
        <v>0</v>
      </c>
      <c r="B241" s="106">
        <f t="shared" si="20"/>
        <v>12</v>
      </c>
      <c r="C241" s="106">
        <f t="shared" si="21"/>
        <v>12</v>
      </c>
      <c r="D241" s="106">
        <f t="shared" si="22"/>
        <v>12</v>
      </c>
      <c r="E241" s="106">
        <f t="shared" si="23"/>
        <v>12</v>
      </c>
      <c r="F241" s="106">
        <f t="shared" si="24"/>
        <v>12</v>
      </c>
      <c r="G241" s="60">
        <f>Request!N11</f>
        <v>0</v>
      </c>
      <c r="H241" s="60">
        <f>IF('Personnel Reference'!Q7="No",(Request!H11*B241/12*Request!$N11),(Request!H11*Worksheet!B241))</f>
        <v>0</v>
      </c>
      <c r="I241" s="60">
        <f>IF('Personnel Reference'!$Q7="No",(Request!I11*C241/12*Request!$N11),(Request!I11*Worksheet!C241))</f>
        <v>0</v>
      </c>
      <c r="J241" s="60">
        <f>IF('Personnel Reference'!$Q7="No",(Request!J11*D241/12*Request!$N11),(Request!J11*Worksheet!D241))</f>
        <v>0</v>
      </c>
      <c r="K241" s="60">
        <f>IF('Personnel Reference'!$Q7="No",(Request!K11*E241/12*Request!$N11),(Request!K11*Worksheet!E241))</f>
        <v>0</v>
      </c>
      <c r="L241" s="60">
        <f>IF('Personnel Reference'!$Q7="No",(Request!L11*F241/12*Request!$N11),(Request!L11*Worksheet!F241))</f>
        <v>0</v>
      </c>
      <c r="M241" s="1" t="str">
        <f>Request!E39</f>
        <v>Choose</v>
      </c>
      <c r="N241" s="267">
        <f>IF(M241="Choose",0,INDEX(Worksheet!$B$55:$B$71,MATCH(Worksheet!$M241,Worksheet!$A$55:$A$71,0)))</f>
        <v>0</v>
      </c>
      <c r="O241" s="269">
        <f>IF(M241="Choose",0,INDEX(Worksheet!$C$55:$C$71,MATCH(Worksheet!$M241,Worksheet!$A$55:$A$71,0)))</f>
        <v>0</v>
      </c>
      <c r="P241" s="267">
        <f>IF(M241="Choose",0,INDEX(Worksheet!$D$55:$D$71,MATCH(Worksheet!$M241,Worksheet!$A$55:$A$71,0)))</f>
        <v>0</v>
      </c>
      <c r="Q241" s="269">
        <f>IF(M241="Choose",0,INDEX(Worksheet!$E$55:$E$71,MATCH(Worksheet!$M241,Worksheet!$A$55:$A$71,0)))</f>
        <v>0</v>
      </c>
      <c r="R241" s="267">
        <f>IF(M241="Choose",0,INDEX(Worksheet!$F$55:$F$71,MATCH(Worksheet!$M241,Worksheet!$A$55:$A$71,0)))</f>
        <v>0</v>
      </c>
      <c r="S241" s="269">
        <f>IF(M241="Choose",0,INDEX(Worksheet!$G$55:$G$71,MATCH(Worksheet!$M241,Worksheet!$A$55:$A$71,0)))</f>
        <v>0</v>
      </c>
      <c r="T241" s="267">
        <f>IF(M241="Choose",0,INDEX(Worksheet!$H$55:$H$71,MATCH(Worksheet!$M241,Worksheet!$A$55:$A$71,0)))</f>
        <v>0</v>
      </c>
      <c r="U241" s="269">
        <f>IF(M241="Choose",0,INDEX(Worksheet!$I$55:$I$71,MATCH(Worksheet!$M241,Worksheet!$A$55:$A$71,0)))</f>
        <v>0</v>
      </c>
      <c r="V241" s="268">
        <f>IF(M241="Choose",0,INDEX(Worksheet!$J$55:$J$71,MATCH(Worksheet!$M241,Worksheet!$A$55:$A$71,0)))</f>
        <v>0</v>
      </c>
      <c r="W241" s="269">
        <f>IF(M241="Choose",0,INDEX(Worksheet!$K$55:$K$71,MATCH(Worksheet!$M241,Worksheet!$A$55:$A$71,0)))</f>
        <v>0</v>
      </c>
    </row>
    <row r="242" spans="1:23" x14ac:dyDescent="0.2">
      <c r="A242" s="34">
        <f>Request!B12</f>
        <v>0</v>
      </c>
      <c r="B242" s="106">
        <f t="shared" si="20"/>
        <v>12</v>
      </c>
      <c r="C242" s="106">
        <f t="shared" si="21"/>
        <v>12</v>
      </c>
      <c r="D242" s="106">
        <f t="shared" si="22"/>
        <v>12</v>
      </c>
      <c r="E242" s="106">
        <f t="shared" si="23"/>
        <v>12</v>
      </c>
      <c r="F242" s="106">
        <f t="shared" si="24"/>
        <v>12</v>
      </c>
      <c r="G242" s="60">
        <f>Request!N12</f>
        <v>0</v>
      </c>
      <c r="H242" s="60">
        <f>IF('Personnel Reference'!Q8="No",(Request!H12*B242/12*Request!$N12),(Request!H12*Worksheet!B242))</f>
        <v>0</v>
      </c>
      <c r="I242" s="60">
        <f>IF('Personnel Reference'!$Q8="No",(Request!I12*C242/12*Request!$N12),(Request!I12*Worksheet!C242))</f>
        <v>0</v>
      </c>
      <c r="J242" s="60">
        <f>IF('Personnel Reference'!$Q8="No",(Request!J12*D242/12*Request!$N12),(Request!J12*Worksheet!D242))</f>
        <v>0</v>
      </c>
      <c r="K242" s="60">
        <f>IF('Personnel Reference'!$Q8="No",(Request!K12*E242/12*Request!$N12),(Request!K12*Worksheet!E242))</f>
        <v>0</v>
      </c>
      <c r="L242" s="60">
        <f>IF('Personnel Reference'!$Q8="No",(Request!L12*F242/12*Request!$N12),(Request!L12*Worksheet!F242))</f>
        <v>0</v>
      </c>
      <c r="M242" s="1" t="str">
        <f>Request!E40</f>
        <v>Choose</v>
      </c>
      <c r="N242" s="267">
        <f>IF(M242="Choose",0,INDEX(Worksheet!$B$55:$B$71,MATCH(Worksheet!$M242,Worksheet!$A$55:$A$71,0)))</f>
        <v>0</v>
      </c>
      <c r="O242" s="269">
        <f>IF(M242="Choose",0,INDEX(Worksheet!$C$55:$C$71,MATCH(Worksheet!$M242,Worksheet!$A$55:$A$71,0)))</f>
        <v>0</v>
      </c>
      <c r="P242" s="267">
        <f>IF(M242="Choose",0,INDEX(Worksheet!$D$55:$D$71,MATCH(Worksheet!$M242,Worksheet!$A$55:$A$71,0)))</f>
        <v>0</v>
      </c>
      <c r="Q242" s="269">
        <f>IF(M242="Choose",0,INDEX(Worksheet!$E$55:$E$71,MATCH(Worksheet!$M242,Worksheet!$A$55:$A$71,0)))</f>
        <v>0</v>
      </c>
      <c r="R242" s="267">
        <f>IF(M242="Choose",0,INDEX(Worksheet!$F$55:$F$71,MATCH(Worksheet!$M242,Worksheet!$A$55:$A$71,0)))</f>
        <v>0</v>
      </c>
      <c r="S242" s="269">
        <f>IF(M242="Choose",0,INDEX(Worksheet!$G$55:$G$71,MATCH(Worksheet!$M242,Worksheet!$A$55:$A$71,0)))</f>
        <v>0</v>
      </c>
      <c r="T242" s="267">
        <f>IF(M242="Choose",0,INDEX(Worksheet!$H$55:$H$71,MATCH(Worksheet!$M242,Worksheet!$A$55:$A$71,0)))</f>
        <v>0</v>
      </c>
      <c r="U242" s="269">
        <f>IF(M242="Choose",0,INDEX(Worksheet!$I$55:$I$71,MATCH(Worksheet!$M242,Worksheet!$A$55:$A$71,0)))</f>
        <v>0</v>
      </c>
      <c r="V242" s="268">
        <f>IF(M242="Choose",0,INDEX(Worksheet!$J$55:$J$71,MATCH(Worksheet!$M242,Worksheet!$A$55:$A$71,0)))</f>
        <v>0</v>
      </c>
      <c r="W242" s="269">
        <f>IF(M242="Choose",0,INDEX(Worksheet!$K$55:$K$71,MATCH(Worksheet!$M242,Worksheet!$A$55:$A$71,0)))</f>
        <v>0</v>
      </c>
    </row>
    <row r="243" spans="1:23" x14ac:dyDescent="0.2">
      <c r="A243" s="34">
        <f>Request!B13</f>
        <v>0</v>
      </c>
      <c r="B243" s="106">
        <f t="shared" si="20"/>
        <v>12</v>
      </c>
      <c r="C243" s="106">
        <f t="shared" si="21"/>
        <v>12</v>
      </c>
      <c r="D243" s="106">
        <f t="shared" si="22"/>
        <v>12</v>
      </c>
      <c r="E243" s="106">
        <f t="shared" si="23"/>
        <v>12</v>
      </c>
      <c r="F243" s="106">
        <f t="shared" si="24"/>
        <v>12</v>
      </c>
      <c r="G243" s="60">
        <f>Request!N13</f>
        <v>0</v>
      </c>
      <c r="H243" s="60">
        <f>IF('Personnel Reference'!Q9="No",(Request!H13*B243/12*Request!$N13),(Request!H13*Worksheet!B243))</f>
        <v>0</v>
      </c>
      <c r="I243" s="60">
        <f>IF('Personnel Reference'!$Q9="No",(Request!I13*C243/12*Request!$N13),(Request!I13*Worksheet!C243))</f>
        <v>0</v>
      </c>
      <c r="J243" s="60">
        <f>IF('Personnel Reference'!$Q9="No",(Request!J13*D243/12*Request!$N13),(Request!J13*Worksheet!D243))</f>
        <v>0</v>
      </c>
      <c r="K243" s="60">
        <f>IF('Personnel Reference'!$Q9="No",(Request!K13*E243/12*Request!$N13),(Request!K13*Worksheet!E243))</f>
        <v>0</v>
      </c>
      <c r="L243" s="60">
        <f>IF('Personnel Reference'!$Q9="No",(Request!L13*F243/12*Request!$N13),(Request!L13*Worksheet!F243))</f>
        <v>0</v>
      </c>
      <c r="M243" s="1" t="str">
        <f>Request!E41</f>
        <v>Choose</v>
      </c>
      <c r="N243" s="267">
        <f>IF(M243="Choose",0,INDEX(Worksheet!$B$55:$B$71,MATCH(Worksheet!$M243,Worksheet!$A$55:$A$71,0)))</f>
        <v>0</v>
      </c>
      <c r="O243" s="269">
        <f>IF(M243="Choose",0,INDEX(Worksheet!$C$55:$C$71,MATCH(Worksheet!$M243,Worksheet!$A$55:$A$71,0)))</f>
        <v>0</v>
      </c>
      <c r="P243" s="267">
        <f>IF(M243="Choose",0,INDEX(Worksheet!$D$55:$D$71,MATCH(Worksheet!$M243,Worksheet!$A$55:$A$71,0)))</f>
        <v>0</v>
      </c>
      <c r="Q243" s="269">
        <f>IF(M243="Choose",0,INDEX(Worksheet!$E$55:$E$71,MATCH(Worksheet!$M243,Worksheet!$A$55:$A$71,0)))</f>
        <v>0</v>
      </c>
      <c r="R243" s="267">
        <f>IF(M243="Choose",0,INDEX(Worksheet!$F$55:$F$71,MATCH(Worksheet!$M243,Worksheet!$A$55:$A$71,0)))</f>
        <v>0</v>
      </c>
      <c r="S243" s="269">
        <f>IF(M243="Choose",0,INDEX(Worksheet!$G$55:$G$71,MATCH(Worksheet!$M243,Worksheet!$A$55:$A$71,0)))</f>
        <v>0</v>
      </c>
      <c r="T243" s="267">
        <f>IF(M243="Choose",0,INDEX(Worksheet!$H$55:$H$71,MATCH(Worksheet!$M243,Worksheet!$A$55:$A$71,0)))</f>
        <v>0</v>
      </c>
      <c r="U243" s="269">
        <f>IF(M243="Choose",0,INDEX(Worksheet!$I$55:$I$71,MATCH(Worksheet!$M243,Worksheet!$A$55:$A$71,0)))</f>
        <v>0</v>
      </c>
      <c r="V243" s="268">
        <f>IF(M243="Choose",0,INDEX(Worksheet!$J$55:$J$71,MATCH(Worksheet!$M243,Worksheet!$A$55:$A$71,0)))</f>
        <v>0</v>
      </c>
      <c r="W243" s="269">
        <f>IF(M243="Choose",0,INDEX(Worksheet!$K$55:$K$71,MATCH(Worksheet!$M243,Worksheet!$A$55:$A$71,0)))</f>
        <v>0</v>
      </c>
    </row>
    <row r="244" spans="1:23" x14ac:dyDescent="0.2">
      <c r="A244" s="34">
        <f>Request!B14</f>
        <v>0</v>
      </c>
      <c r="B244" s="106">
        <f t="shared" si="20"/>
        <v>12</v>
      </c>
      <c r="C244" s="106">
        <f t="shared" si="21"/>
        <v>12</v>
      </c>
      <c r="D244" s="106">
        <f t="shared" si="22"/>
        <v>12</v>
      </c>
      <c r="E244" s="106">
        <f t="shared" si="23"/>
        <v>12</v>
      </c>
      <c r="F244" s="106">
        <f t="shared" si="24"/>
        <v>12</v>
      </c>
      <c r="G244" s="60">
        <f>Request!N14</f>
        <v>0</v>
      </c>
      <c r="H244" s="60">
        <f>IF('Personnel Reference'!Q10="No",(Request!H14*B244/12*Request!$N14),(Request!H14*Worksheet!B244))</f>
        <v>0</v>
      </c>
      <c r="I244" s="60">
        <f>IF('Personnel Reference'!$Q10="No",(Request!I14*C244/12*Request!$N14),(Request!I14*Worksheet!C244))</f>
        <v>0</v>
      </c>
      <c r="J244" s="60">
        <f>IF('Personnel Reference'!$Q10="No",(Request!J14*D244/12*Request!$N14),(Request!J14*Worksheet!D244))</f>
        <v>0</v>
      </c>
      <c r="K244" s="60">
        <f>IF('Personnel Reference'!$Q10="No",(Request!K14*E244/12*Request!$N14),(Request!K14*Worksheet!E244))</f>
        <v>0</v>
      </c>
      <c r="L244" s="60">
        <f>IF('Personnel Reference'!$Q10="No",(Request!L14*F244/12*Request!$N14),(Request!L14*Worksheet!F244))</f>
        <v>0</v>
      </c>
      <c r="M244" s="1" t="str">
        <f>Request!E42</f>
        <v>Choose</v>
      </c>
      <c r="N244" s="267">
        <f>IF(M244="Choose",0,INDEX(Worksheet!$B$55:$B$71,MATCH(Worksheet!$M244,Worksheet!$A$55:$A$71,0)))</f>
        <v>0</v>
      </c>
      <c r="O244" s="269">
        <f>IF(M244="Choose",0,INDEX(Worksheet!$C$55:$C$71,MATCH(Worksheet!$M244,Worksheet!$A$55:$A$71,0)))</f>
        <v>0</v>
      </c>
      <c r="P244" s="267">
        <f>IF(M244="Choose",0,INDEX(Worksheet!$D$55:$D$71,MATCH(Worksheet!$M244,Worksheet!$A$55:$A$71,0)))</f>
        <v>0</v>
      </c>
      <c r="Q244" s="269">
        <f>IF(M244="Choose",0,INDEX(Worksheet!$E$55:$E$71,MATCH(Worksheet!$M244,Worksheet!$A$55:$A$71,0)))</f>
        <v>0</v>
      </c>
      <c r="R244" s="267">
        <f>IF(M244="Choose",0,INDEX(Worksheet!$F$55:$F$71,MATCH(Worksheet!$M244,Worksheet!$A$55:$A$71,0)))</f>
        <v>0</v>
      </c>
      <c r="S244" s="269">
        <f>IF(M244="Choose",0,INDEX(Worksheet!$G$55:$G$71,MATCH(Worksheet!$M244,Worksheet!$A$55:$A$71,0)))</f>
        <v>0</v>
      </c>
      <c r="T244" s="267">
        <f>IF(M244="Choose",0,INDEX(Worksheet!$H$55:$H$71,MATCH(Worksheet!$M244,Worksheet!$A$55:$A$71,0)))</f>
        <v>0</v>
      </c>
      <c r="U244" s="269">
        <f>IF(M244="Choose",0,INDEX(Worksheet!$I$55:$I$71,MATCH(Worksheet!$M244,Worksheet!$A$55:$A$71,0)))</f>
        <v>0</v>
      </c>
      <c r="V244" s="268">
        <f>IF(M244="Choose",0,INDEX(Worksheet!$J$55:$J$71,MATCH(Worksheet!$M244,Worksheet!$A$55:$A$71,0)))</f>
        <v>0</v>
      </c>
      <c r="W244" s="269">
        <f>IF(M244="Choose",0,INDEX(Worksheet!$K$55:$K$71,MATCH(Worksheet!$M244,Worksheet!$A$55:$A$71,0)))</f>
        <v>0</v>
      </c>
    </row>
    <row r="245" spans="1:23" x14ac:dyDescent="0.2">
      <c r="A245" s="34">
        <f>Request!B15</f>
        <v>0</v>
      </c>
      <c r="B245" s="106">
        <f t="shared" si="20"/>
        <v>12</v>
      </c>
      <c r="C245" s="106">
        <f t="shared" si="21"/>
        <v>12</v>
      </c>
      <c r="D245" s="106">
        <f t="shared" si="22"/>
        <v>12</v>
      </c>
      <c r="E245" s="106">
        <f t="shared" si="23"/>
        <v>12</v>
      </c>
      <c r="F245" s="106">
        <f t="shared" si="24"/>
        <v>12</v>
      </c>
      <c r="G245" s="60">
        <f>Request!N15</f>
        <v>0</v>
      </c>
      <c r="H245" s="60">
        <f>IF('Personnel Reference'!Q11="No",(Request!H15*B245/12*Request!$N15),(Request!H15*Worksheet!B245))</f>
        <v>0</v>
      </c>
      <c r="I245" s="60">
        <f>IF('Personnel Reference'!$Q11="No",(Request!I15*C245/12*Request!$N15),(Request!I15*Worksheet!C245))</f>
        <v>0</v>
      </c>
      <c r="J245" s="60">
        <f>IF('Personnel Reference'!$Q11="No",(Request!J15*D245/12*Request!$N15),(Request!J15*Worksheet!D245))</f>
        <v>0</v>
      </c>
      <c r="K245" s="60">
        <f>IF('Personnel Reference'!$Q11="No",(Request!K15*E245/12*Request!$N15),(Request!K15*Worksheet!E245))</f>
        <v>0</v>
      </c>
      <c r="L245" s="60">
        <f>IF('Personnel Reference'!$Q11="No",(Request!L15*F245/12*Request!$N15),(Request!L15*Worksheet!F245))</f>
        <v>0</v>
      </c>
      <c r="M245" s="1" t="str">
        <f>Request!E43</f>
        <v>Choose</v>
      </c>
      <c r="N245" s="267">
        <f>IF(M245="Choose",0,INDEX(Worksheet!$B$55:$B$71,MATCH(Worksheet!$M245,Worksheet!$A$55:$A$71,0)))</f>
        <v>0</v>
      </c>
      <c r="O245" s="269">
        <f>IF(M245="Choose",0,INDEX(Worksheet!$C$55:$C$71,MATCH(Worksheet!$M245,Worksheet!$A$55:$A$71,0)))</f>
        <v>0</v>
      </c>
      <c r="P245" s="267">
        <f>IF(M245="Choose",0,INDEX(Worksheet!$D$55:$D$71,MATCH(Worksheet!$M245,Worksheet!$A$55:$A$71,0)))</f>
        <v>0</v>
      </c>
      <c r="Q245" s="269">
        <f>IF(M245="Choose",0,INDEX(Worksheet!$E$55:$E$71,MATCH(Worksheet!$M245,Worksheet!$A$55:$A$71,0)))</f>
        <v>0</v>
      </c>
      <c r="R245" s="267">
        <f>IF(M245="Choose",0,INDEX(Worksheet!$F$55:$F$71,MATCH(Worksheet!$M245,Worksheet!$A$55:$A$71,0)))</f>
        <v>0</v>
      </c>
      <c r="S245" s="269">
        <f>IF(M245="Choose",0,INDEX(Worksheet!$G$55:$G$71,MATCH(Worksheet!$M245,Worksheet!$A$55:$A$71,0)))</f>
        <v>0</v>
      </c>
      <c r="T245" s="267">
        <f>IF(M245="Choose",0,INDEX(Worksheet!$H$55:$H$71,MATCH(Worksheet!$M245,Worksheet!$A$55:$A$71,0)))</f>
        <v>0</v>
      </c>
      <c r="U245" s="269">
        <f>IF(M245="Choose",0,INDEX(Worksheet!$I$55:$I$71,MATCH(Worksheet!$M245,Worksheet!$A$55:$A$71,0)))</f>
        <v>0</v>
      </c>
      <c r="V245" s="268">
        <f>IF(M245="Choose",0,INDEX(Worksheet!$J$55:$J$71,MATCH(Worksheet!$M245,Worksheet!$A$55:$A$71,0)))</f>
        <v>0</v>
      </c>
      <c r="W245" s="269">
        <f>IF(M245="Choose",0,INDEX(Worksheet!$K$55:$K$71,MATCH(Worksheet!$M245,Worksheet!$A$55:$A$71,0)))</f>
        <v>0</v>
      </c>
    </row>
    <row r="246" spans="1:23" x14ac:dyDescent="0.2">
      <c r="A246" s="34">
        <f>Request!B16</f>
        <v>0</v>
      </c>
      <c r="B246" s="106">
        <f t="shared" si="20"/>
        <v>12</v>
      </c>
      <c r="C246" s="106">
        <f t="shared" si="21"/>
        <v>12</v>
      </c>
      <c r="D246" s="106">
        <f t="shared" si="22"/>
        <v>12</v>
      </c>
      <c r="E246" s="106">
        <f t="shared" si="23"/>
        <v>12</v>
      </c>
      <c r="F246" s="106">
        <f t="shared" si="24"/>
        <v>12</v>
      </c>
      <c r="G246" s="60">
        <f>Request!N16</f>
        <v>0</v>
      </c>
      <c r="H246" s="60">
        <f>IF('Personnel Reference'!Q12="No",(Request!H16*B246/12*Request!$N16),(Request!H16*Worksheet!B246))</f>
        <v>0</v>
      </c>
      <c r="I246" s="60">
        <f>IF('Personnel Reference'!$Q12="No",(Request!I16*C246/12*Request!$N16),(Request!I16*Worksheet!C246))</f>
        <v>0</v>
      </c>
      <c r="J246" s="60">
        <f>IF('Personnel Reference'!$Q12="No",(Request!J16*D246/12*Request!$N16),(Request!J16*Worksheet!D246))</f>
        <v>0</v>
      </c>
      <c r="K246" s="60">
        <f>IF('Personnel Reference'!$Q12="No",(Request!K16*E246/12*Request!$N16),(Request!K16*Worksheet!E246))</f>
        <v>0</v>
      </c>
      <c r="L246" s="60">
        <f>IF('Personnel Reference'!$Q12="No",(Request!L16*F246/12*Request!$N16),(Request!L16*Worksheet!F246))</f>
        <v>0</v>
      </c>
      <c r="M246" s="1" t="str">
        <f>Request!E44</f>
        <v>Choose</v>
      </c>
      <c r="N246" s="267">
        <f>IF(M246="Choose",0,INDEX(Worksheet!$B$55:$B$71,MATCH(Worksheet!$M246,Worksheet!$A$55:$A$71,0)))</f>
        <v>0</v>
      </c>
      <c r="O246" s="269">
        <f>IF(M246="Choose",0,INDEX(Worksheet!$C$55:$C$71,MATCH(Worksheet!$M246,Worksheet!$A$55:$A$71,0)))</f>
        <v>0</v>
      </c>
      <c r="P246" s="267">
        <f>IF(M246="Choose",0,INDEX(Worksheet!$D$55:$D$71,MATCH(Worksheet!$M246,Worksheet!$A$55:$A$71,0)))</f>
        <v>0</v>
      </c>
      <c r="Q246" s="269">
        <f>IF(M246="Choose",0,INDEX(Worksheet!$E$55:$E$71,MATCH(Worksheet!$M246,Worksheet!$A$55:$A$71,0)))</f>
        <v>0</v>
      </c>
      <c r="R246" s="267">
        <f>IF(M246="Choose",0,INDEX(Worksheet!$F$55:$F$71,MATCH(Worksheet!$M246,Worksheet!$A$55:$A$71,0)))</f>
        <v>0</v>
      </c>
      <c r="S246" s="269">
        <f>IF(M246="Choose",0,INDEX(Worksheet!$G$55:$G$71,MATCH(Worksheet!$M246,Worksheet!$A$55:$A$71,0)))</f>
        <v>0</v>
      </c>
      <c r="T246" s="267">
        <f>IF(M246="Choose",0,INDEX(Worksheet!$H$55:$H$71,MATCH(Worksheet!$M246,Worksheet!$A$55:$A$71,0)))</f>
        <v>0</v>
      </c>
      <c r="U246" s="269">
        <f>IF(M246="Choose",0,INDEX(Worksheet!$I$55:$I$71,MATCH(Worksheet!$M246,Worksheet!$A$55:$A$71,0)))</f>
        <v>0</v>
      </c>
      <c r="V246" s="268">
        <f>IF(M246="Choose",0,INDEX(Worksheet!$J$55:$J$71,MATCH(Worksheet!$M246,Worksheet!$A$55:$A$71,0)))</f>
        <v>0</v>
      </c>
      <c r="W246" s="269">
        <f>IF(M246="Choose",0,INDEX(Worksheet!$K$55:$K$71,MATCH(Worksheet!$M246,Worksheet!$A$55:$A$71,0)))</f>
        <v>0</v>
      </c>
    </row>
    <row r="247" spans="1:23" x14ac:dyDescent="0.2">
      <c r="A247" s="34">
        <f>Request!B17</f>
        <v>0</v>
      </c>
      <c r="B247" s="106">
        <f t="shared" si="20"/>
        <v>12</v>
      </c>
      <c r="C247" s="106">
        <f t="shared" si="21"/>
        <v>12</v>
      </c>
      <c r="D247" s="106">
        <f t="shared" si="22"/>
        <v>12</v>
      </c>
      <c r="E247" s="106">
        <f t="shared" si="23"/>
        <v>12</v>
      </c>
      <c r="F247" s="106">
        <f t="shared" si="24"/>
        <v>12</v>
      </c>
      <c r="G247" s="60">
        <f>Request!N17</f>
        <v>0</v>
      </c>
      <c r="H247" s="60">
        <f>IF('Personnel Reference'!Q13="No",(Request!H17*B247/12*Request!$N17),(Request!H17*Worksheet!B247))</f>
        <v>0</v>
      </c>
      <c r="I247" s="60">
        <f>IF('Personnel Reference'!$Q13="No",(Request!I17*C247/12*Request!$N17),(Request!I17*Worksheet!C247))</f>
        <v>0</v>
      </c>
      <c r="J247" s="60">
        <f>IF('Personnel Reference'!$Q13="No",(Request!J17*D247/12*Request!$N17),(Request!J17*Worksheet!D247))</f>
        <v>0</v>
      </c>
      <c r="K247" s="60">
        <f>IF('Personnel Reference'!$Q13="No",(Request!K17*E247/12*Request!$N17),(Request!K17*Worksheet!E247))</f>
        <v>0</v>
      </c>
      <c r="L247" s="60">
        <f>IF('Personnel Reference'!$Q13="No",(Request!L17*F247/12*Request!$N17),(Request!L17*Worksheet!F247))</f>
        <v>0</v>
      </c>
      <c r="M247" s="1" t="str">
        <f>Request!E45</f>
        <v>Choose</v>
      </c>
      <c r="N247" s="267">
        <f>IF(M247="Choose",0,INDEX(Worksheet!$B$55:$B$71,MATCH(Worksheet!$M247,Worksheet!$A$55:$A$71,0)))</f>
        <v>0</v>
      </c>
      <c r="O247" s="269">
        <f>IF(M247="Choose",0,INDEX(Worksheet!$C$55:$C$71,MATCH(Worksheet!$M247,Worksheet!$A$55:$A$71,0)))</f>
        <v>0</v>
      </c>
      <c r="P247" s="267">
        <f>IF(M247="Choose",0,INDEX(Worksheet!$D$55:$D$71,MATCH(Worksheet!$M247,Worksheet!$A$55:$A$71,0)))</f>
        <v>0</v>
      </c>
      <c r="Q247" s="269">
        <f>IF(M247="Choose",0,INDEX(Worksheet!$E$55:$E$71,MATCH(Worksheet!$M247,Worksheet!$A$55:$A$71,0)))</f>
        <v>0</v>
      </c>
      <c r="R247" s="267">
        <f>IF(M247="Choose",0,INDEX(Worksheet!$F$55:$F$71,MATCH(Worksheet!$M247,Worksheet!$A$55:$A$71,0)))</f>
        <v>0</v>
      </c>
      <c r="S247" s="269">
        <f>IF(M247="Choose",0,INDEX(Worksheet!$G$55:$G$71,MATCH(Worksheet!$M247,Worksheet!$A$55:$A$71,0)))</f>
        <v>0</v>
      </c>
      <c r="T247" s="267">
        <f>IF(M247="Choose",0,INDEX(Worksheet!$H$55:$H$71,MATCH(Worksheet!$M247,Worksheet!$A$55:$A$71,0)))</f>
        <v>0</v>
      </c>
      <c r="U247" s="269">
        <f>IF(M247="Choose",0,INDEX(Worksheet!$I$55:$I$71,MATCH(Worksheet!$M247,Worksheet!$A$55:$A$71,0)))</f>
        <v>0</v>
      </c>
      <c r="V247" s="268">
        <f>IF(M247="Choose",0,INDEX(Worksheet!$J$55:$J$71,MATCH(Worksheet!$M247,Worksheet!$A$55:$A$71,0)))</f>
        <v>0</v>
      </c>
      <c r="W247" s="269">
        <f>IF(M247="Choose",0,INDEX(Worksheet!$K$55:$K$71,MATCH(Worksheet!$M247,Worksheet!$A$55:$A$71,0)))</f>
        <v>0</v>
      </c>
    </row>
    <row r="248" spans="1:23" x14ac:dyDescent="0.2">
      <c r="A248" s="34">
        <f>Request!B18</f>
        <v>0</v>
      </c>
      <c r="B248" s="106">
        <f t="shared" si="20"/>
        <v>12</v>
      </c>
      <c r="C248" s="106">
        <f t="shared" si="21"/>
        <v>12</v>
      </c>
      <c r="D248" s="106">
        <f t="shared" si="22"/>
        <v>12</v>
      </c>
      <c r="E248" s="106">
        <f t="shared" si="23"/>
        <v>12</v>
      </c>
      <c r="F248" s="106">
        <f t="shared" si="24"/>
        <v>12</v>
      </c>
      <c r="G248" s="60">
        <f>Request!N18</f>
        <v>0</v>
      </c>
      <c r="H248" s="60">
        <f>IF('Personnel Reference'!Q14="No",(Request!H18*B248/12*Request!$N18),(Request!H18*Worksheet!B248))</f>
        <v>0</v>
      </c>
      <c r="I248" s="60">
        <f>IF('Personnel Reference'!$Q14="No",(Request!I18*C248/12*Request!$N18),(Request!I18*Worksheet!C248))</f>
        <v>0</v>
      </c>
      <c r="J248" s="60">
        <f>IF('Personnel Reference'!$Q14="No",(Request!J18*D248/12*Request!$N18),(Request!J18*Worksheet!D248))</f>
        <v>0</v>
      </c>
      <c r="K248" s="60">
        <f>IF('Personnel Reference'!$Q14="No",(Request!K18*E248/12*Request!$N18),(Request!K18*Worksheet!E248))</f>
        <v>0</v>
      </c>
      <c r="L248" s="60">
        <f>IF('Personnel Reference'!$Q14="No",(Request!L18*F248/12*Request!$N18),(Request!L18*Worksheet!F248))</f>
        <v>0</v>
      </c>
      <c r="M248" s="1" t="str">
        <f>Request!E46</f>
        <v>Choose</v>
      </c>
      <c r="N248" s="267">
        <f>IF(M248="Choose",0,INDEX(Worksheet!$B$55:$B$71,MATCH(Worksheet!$M248,Worksheet!$A$55:$A$71,0)))</f>
        <v>0</v>
      </c>
      <c r="O248" s="269">
        <f>IF(M248="Choose",0,INDEX(Worksheet!$C$55:$C$71,MATCH(Worksheet!$M248,Worksheet!$A$55:$A$71,0)))</f>
        <v>0</v>
      </c>
      <c r="P248" s="267">
        <f>IF(M248="Choose",0,INDEX(Worksheet!$D$55:$D$71,MATCH(Worksheet!$M248,Worksheet!$A$55:$A$71,0)))</f>
        <v>0</v>
      </c>
      <c r="Q248" s="269">
        <f>IF(M248="Choose",0,INDEX(Worksheet!$E$55:$E$71,MATCH(Worksheet!$M248,Worksheet!$A$55:$A$71,0)))</f>
        <v>0</v>
      </c>
      <c r="R248" s="267">
        <f>IF(M248="Choose",0,INDEX(Worksheet!$F$55:$F$71,MATCH(Worksheet!$M248,Worksheet!$A$55:$A$71,0)))</f>
        <v>0</v>
      </c>
      <c r="S248" s="269">
        <f>IF(M248="Choose",0,INDEX(Worksheet!$G$55:$G$71,MATCH(Worksheet!$M248,Worksheet!$A$55:$A$71,0)))</f>
        <v>0</v>
      </c>
      <c r="T248" s="267">
        <f>IF(M248="Choose",0,INDEX(Worksheet!$H$55:$H$71,MATCH(Worksheet!$M248,Worksheet!$A$55:$A$71,0)))</f>
        <v>0</v>
      </c>
      <c r="U248" s="269">
        <f>IF(M248="Choose",0,INDEX(Worksheet!$I$55:$I$71,MATCH(Worksheet!$M248,Worksheet!$A$55:$A$71,0)))</f>
        <v>0</v>
      </c>
      <c r="V248" s="268">
        <f>IF(M248="Choose",0,INDEX(Worksheet!$J$55:$J$71,MATCH(Worksheet!$M248,Worksheet!$A$55:$A$71,0)))</f>
        <v>0</v>
      </c>
      <c r="W248" s="269">
        <f>IF(M248="Choose",0,INDEX(Worksheet!$K$55:$K$71,MATCH(Worksheet!$M248,Worksheet!$A$55:$A$71,0)))</f>
        <v>0</v>
      </c>
    </row>
    <row r="249" spans="1:23" x14ac:dyDescent="0.2">
      <c r="A249" s="34">
        <f>Request!B19</f>
        <v>0</v>
      </c>
      <c r="B249" s="106">
        <f t="shared" si="20"/>
        <v>12</v>
      </c>
      <c r="C249" s="106">
        <f t="shared" si="21"/>
        <v>12</v>
      </c>
      <c r="D249" s="106">
        <f t="shared" si="22"/>
        <v>12</v>
      </c>
      <c r="E249" s="106">
        <f t="shared" si="23"/>
        <v>12</v>
      </c>
      <c r="F249" s="106">
        <f t="shared" si="24"/>
        <v>12</v>
      </c>
      <c r="G249" s="60">
        <f>Request!N19</f>
        <v>0</v>
      </c>
      <c r="H249" s="60">
        <f>IF('Personnel Reference'!Q15="No",(Request!H19*B249/12*Request!$N19),(Request!H19*Worksheet!B249))</f>
        <v>0</v>
      </c>
      <c r="I249" s="60">
        <f>IF('Personnel Reference'!$Q15="No",(Request!I19*C249/12*Request!$N19),(Request!I19*Worksheet!C249))</f>
        <v>0</v>
      </c>
      <c r="J249" s="60">
        <f>IF('Personnel Reference'!$Q15="No",(Request!J19*D249/12*Request!$N19),(Request!J19*Worksheet!D249))</f>
        <v>0</v>
      </c>
      <c r="K249" s="60">
        <f>IF('Personnel Reference'!$Q15="No",(Request!K19*E249/12*Request!$N19),(Request!K19*Worksheet!E249))</f>
        <v>0</v>
      </c>
      <c r="L249" s="60">
        <f>IF('Personnel Reference'!$Q15="No",(Request!L19*F249/12*Request!$N19),(Request!L19*Worksheet!F249))</f>
        <v>0</v>
      </c>
      <c r="M249" s="1" t="str">
        <f>Request!E47</f>
        <v>Choose</v>
      </c>
      <c r="N249" s="267">
        <f>IF(M249="Choose",0,INDEX(Worksheet!$B$55:$B$71,MATCH(Worksheet!$M249,Worksheet!$A$55:$A$71,0)))</f>
        <v>0</v>
      </c>
      <c r="O249" s="269">
        <f>IF(M249="Choose",0,INDEX(Worksheet!$C$55:$C$71,MATCH(Worksheet!$M249,Worksheet!$A$55:$A$71,0)))</f>
        <v>0</v>
      </c>
      <c r="P249" s="267">
        <f>IF(M249="Choose",0,INDEX(Worksheet!$D$55:$D$71,MATCH(Worksheet!$M249,Worksheet!$A$55:$A$71,0)))</f>
        <v>0</v>
      </c>
      <c r="Q249" s="269">
        <f>IF(M249="Choose",0,INDEX(Worksheet!$E$55:$E$71,MATCH(Worksheet!$M249,Worksheet!$A$55:$A$71,0)))</f>
        <v>0</v>
      </c>
      <c r="R249" s="267">
        <f>IF(M249="Choose",0,INDEX(Worksheet!$F$55:$F$71,MATCH(Worksheet!$M249,Worksheet!$A$55:$A$71,0)))</f>
        <v>0</v>
      </c>
      <c r="S249" s="269">
        <f>IF(M249="Choose",0,INDEX(Worksheet!$G$55:$G$71,MATCH(Worksheet!$M249,Worksheet!$A$55:$A$71,0)))</f>
        <v>0</v>
      </c>
      <c r="T249" s="267">
        <f>IF(M249="Choose",0,INDEX(Worksheet!$H$55:$H$71,MATCH(Worksheet!$M249,Worksheet!$A$55:$A$71,0)))</f>
        <v>0</v>
      </c>
      <c r="U249" s="269">
        <f>IF(M249="Choose",0,INDEX(Worksheet!$I$55:$I$71,MATCH(Worksheet!$M249,Worksheet!$A$55:$A$71,0)))</f>
        <v>0</v>
      </c>
      <c r="V249" s="268">
        <f>IF(M249="Choose",0,INDEX(Worksheet!$J$55:$J$71,MATCH(Worksheet!$M249,Worksheet!$A$55:$A$71,0)))</f>
        <v>0</v>
      </c>
      <c r="W249" s="269">
        <f>IF(M249="Choose",0,INDEX(Worksheet!$K$55:$K$71,MATCH(Worksheet!$M249,Worksheet!$A$55:$A$71,0)))</f>
        <v>0</v>
      </c>
    </row>
    <row r="250" spans="1:23" x14ac:dyDescent="0.2">
      <c r="A250" s="34">
        <f>Request!B20</f>
        <v>0</v>
      </c>
      <c r="B250" s="106">
        <f t="shared" si="20"/>
        <v>12</v>
      </c>
      <c r="C250" s="106">
        <f t="shared" si="21"/>
        <v>12</v>
      </c>
      <c r="D250" s="106">
        <f t="shared" si="22"/>
        <v>12</v>
      </c>
      <c r="E250" s="106">
        <f t="shared" si="23"/>
        <v>12</v>
      </c>
      <c r="F250" s="106">
        <f t="shared" si="24"/>
        <v>12</v>
      </c>
      <c r="G250" s="60">
        <f>Request!N20</f>
        <v>0</v>
      </c>
      <c r="H250" s="60">
        <f>IF('Personnel Reference'!Q16="No",(Request!H20*B250/12*Request!$N20),(Request!H20*Worksheet!B250))</f>
        <v>0</v>
      </c>
      <c r="I250" s="60">
        <f>IF('Personnel Reference'!$Q16="No",(Request!I20*C250/12*Request!$N20),(Request!I20*Worksheet!C250))</f>
        <v>0</v>
      </c>
      <c r="J250" s="60">
        <f>IF('Personnel Reference'!$Q16="No",(Request!J20*D250/12*Request!$N20),(Request!J20*Worksheet!D250))</f>
        <v>0</v>
      </c>
      <c r="K250" s="60">
        <f>IF('Personnel Reference'!$Q16="No",(Request!K20*E250/12*Request!$N20),(Request!K20*Worksheet!E250))</f>
        <v>0</v>
      </c>
      <c r="L250" s="60">
        <f>IF('Personnel Reference'!$Q16="No",(Request!L20*F250/12*Request!$N20),(Request!L20*Worksheet!F250))</f>
        <v>0</v>
      </c>
      <c r="M250" s="1" t="str">
        <f>Request!E48</f>
        <v>Choose</v>
      </c>
      <c r="N250" s="267">
        <f>IF(M250="Choose",0,INDEX(Worksheet!$B$55:$B$71,MATCH(Worksheet!$M250,Worksheet!$A$55:$A$71,0)))</f>
        <v>0</v>
      </c>
      <c r="O250" s="269">
        <f>IF(M250="Choose",0,INDEX(Worksheet!$C$55:$C$71,MATCH(Worksheet!$M250,Worksheet!$A$55:$A$71,0)))</f>
        <v>0</v>
      </c>
      <c r="P250" s="267">
        <f>IF(M250="Choose",0,INDEX(Worksheet!$D$55:$D$71,MATCH(Worksheet!$M250,Worksheet!$A$55:$A$71,0)))</f>
        <v>0</v>
      </c>
      <c r="Q250" s="269">
        <f>IF(M250="Choose",0,INDEX(Worksheet!$E$55:$E$71,MATCH(Worksheet!$M250,Worksheet!$A$55:$A$71,0)))</f>
        <v>0</v>
      </c>
      <c r="R250" s="267">
        <f>IF(M250="Choose",0,INDEX(Worksheet!$F$55:$F$71,MATCH(Worksheet!$M250,Worksheet!$A$55:$A$71,0)))</f>
        <v>0</v>
      </c>
      <c r="S250" s="269">
        <f>IF(M250="Choose",0,INDEX(Worksheet!$G$55:$G$71,MATCH(Worksheet!$M250,Worksheet!$A$55:$A$71,0)))</f>
        <v>0</v>
      </c>
      <c r="T250" s="267">
        <f>IF(M250="Choose",0,INDEX(Worksheet!$H$55:$H$71,MATCH(Worksheet!$M250,Worksheet!$A$55:$A$71,0)))</f>
        <v>0</v>
      </c>
      <c r="U250" s="269">
        <f>IF(M250="Choose",0,INDEX(Worksheet!$I$55:$I$71,MATCH(Worksheet!$M250,Worksheet!$A$55:$A$71,0)))</f>
        <v>0</v>
      </c>
      <c r="V250" s="268">
        <f>IF(M250="Choose",0,INDEX(Worksheet!$J$55:$J$71,MATCH(Worksheet!$M250,Worksheet!$A$55:$A$71,0)))</f>
        <v>0</v>
      </c>
      <c r="W250" s="269">
        <f>IF(M250="Choose",0,INDEX(Worksheet!$K$55:$K$71,MATCH(Worksheet!$M250,Worksheet!$A$55:$A$71,0)))</f>
        <v>0</v>
      </c>
    </row>
    <row r="251" spans="1:23" x14ac:dyDescent="0.2">
      <c r="A251" s="34">
        <f>Request!B21</f>
        <v>0</v>
      </c>
      <c r="B251" s="106">
        <f t="shared" si="20"/>
        <v>12</v>
      </c>
      <c r="C251" s="106">
        <f t="shared" si="21"/>
        <v>12</v>
      </c>
      <c r="D251" s="106">
        <f t="shared" si="22"/>
        <v>12</v>
      </c>
      <c r="E251" s="106">
        <f t="shared" si="23"/>
        <v>12</v>
      </c>
      <c r="F251" s="106">
        <f t="shared" si="24"/>
        <v>12</v>
      </c>
      <c r="G251" s="60">
        <f>Request!N21</f>
        <v>0</v>
      </c>
      <c r="H251" s="60">
        <f>IF('Personnel Reference'!Q17="No",(Request!H21*B251/12*Request!$N21),(Request!H21*Worksheet!B251))</f>
        <v>0</v>
      </c>
      <c r="I251" s="60">
        <f>IF('Personnel Reference'!$Q17="No",(Request!I21*C251/12*Request!$N21),(Request!I21*Worksheet!C251))</f>
        <v>0</v>
      </c>
      <c r="J251" s="60">
        <f>IF('Personnel Reference'!$Q17="No",(Request!J21*D251/12*Request!$N21),(Request!J21*Worksheet!D251))</f>
        <v>0</v>
      </c>
      <c r="K251" s="60">
        <f>IF('Personnel Reference'!$Q17="No",(Request!K21*E251/12*Request!$N21),(Request!K21*Worksheet!E251))</f>
        <v>0</v>
      </c>
      <c r="L251" s="60">
        <f>IF('Personnel Reference'!$Q17="No",(Request!L21*F251/12*Request!$N21),(Request!L21*Worksheet!F251))</f>
        <v>0</v>
      </c>
      <c r="M251" s="1" t="str">
        <f>Request!E49</f>
        <v>Choose</v>
      </c>
      <c r="N251" s="267">
        <f>IF(M251="Choose",0,INDEX(Worksheet!$B$55:$B$71,MATCH(Worksheet!$M251,Worksheet!$A$55:$A$71,0)))</f>
        <v>0</v>
      </c>
      <c r="O251" s="269">
        <f>IF(M251="Choose",0,INDEX(Worksheet!$C$55:$C$71,MATCH(Worksheet!$M251,Worksheet!$A$55:$A$71,0)))</f>
        <v>0</v>
      </c>
      <c r="P251" s="267">
        <f>IF(M251="Choose",0,INDEX(Worksheet!$D$55:$D$71,MATCH(Worksheet!$M251,Worksheet!$A$55:$A$71,0)))</f>
        <v>0</v>
      </c>
      <c r="Q251" s="269">
        <f>IF(M251="Choose",0,INDEX(Worksheet!$E$55:$E$71,MATCH(Worksheet!$M251,Worksheet!$A$55:$A$71,0)))</f>
        <v>0</v>
      </c>
      <c r="R251" s="267">
        <f>IF(M251="Choose",0,INDEX(Worksheet!$F$55:$F$71,MATCH(Worksheet!$M251,Worksheet!$A$55:$A$71,0)))</f>
        <v>0</v>
      </c>
      <c r="S251" s="269">
        <f>IF(M251="Choose",0,INDEX(Worksheet!$G$55:$G$71,MATCH(Worksheet!$M251,Worksheet!$A$55:$A$71,0)))</f>
        <v>0</v>
      </c>
      <c r="T251" s="267">
        <f>IF(M251="Choose",0,INDEX(Worksheet!$H$55:$H$71,MATCH(Worksheet!$M251,Worksheet!$A$55:$A$71,0)))</f>
        <v>0</v>
      </c>
      <c r="U251" s="269">
        <f>IF(M251="Choose",0,INDEX(Worksheet!$I$55:$I$71,MATCH(Worksheet!$M251,Worksheet!$A$55:$A$71,0)))</f>
        <v>0</v>
      </c>
      <c r="V251" s="268">
        <f>IF(M251="Choose",0,INDEX(Worksheet!$J$55:$J$71,MATCH(Worksheet!$M251,Worksheet!$A$55:$A$71,0)))</f>
        <v>0</v>
      </c>
      <c r="W251" s="269">
        <f>IF(M251="Choose",0,INDEX(Worksheet!$K$55:$K$71,MATCH(Worksheet!$M251,Worksheet!$A$55:$A$71,0)))</f>
        <v>0</v>
      </c>
    </row>
    <row r="252" spans="1:23" x14ac:dyDescent="0.2">
      <c r="A252" s="34">
        <f>Request!B22</f>
        <v>0</v>
      </c>
      <c r="B252" s="106">
        <f t="shared" si="20"/>
        <v>12</v>
      </c>
      <c r="C252" s="106">
        <f t="shared" si="21"/>
        <v>12</v>
      </c>
      <c r="D252" s="106">
        <f t="shared" si="22"/>
        <v>12</v>
      </c>
      <c r="E252" s="106">
        <f t="shared" si="23"/>
        <v>12</v>
      </c>
      <c r="F252" s="106">
        <f t="shared" si="24"/>
        <v>12</v>
      </c>
      <c r="G252" s="60">
        <f>Request!N22</f>
        <v>0</v>
      </c>
      <c r="H252" s="60">
        <f>IF('Personnel Reference'!Q18="No",(Request!H22*B252/12*Request!$N22),(Request!H22*Worksheet!B252))</f>
        <v>0</v>
      </c>
      <c r="I252" s="60">
        <f>IF('Personnel Reference'!$Q18="No",(Request!I22*C252/12*Request!$N22),(Request!I22*Worksheet!C252))</f>
        <v>0</v>
      </c>
      <c r="J252" s="60">
        <f>IF('Personnel Reference'!$Q18="No",(Request!J22*D252/12*Request!$N22),(Request!J22*Worksheet!D252))</f>
        <v>0</v>
      </c>
      <c r="K252" s="60">
        <f>IF('Personnel Reference'!$Q18="No",(Request!K22*E252/12*Request!$N22),(Request!K22*Worksheet!E252))</f>
        <v>0</v>
      </c>
      <c r="L252" s="60">
        <f>IF('Personnel Reference'!$Q18="No",(Request!L22*F252/12*Request!$N22),(Request!L22*Worksheet!F252))</f>
        <v>0</v>
      </c>
      <c r="M252" s="1" t="str">
        <f>Request!E50</f>
        <v>Choose</v>
      </c>
      <c r="N252" s="267">
        <f>IF(M252="Choose",0,INDEX(Worksheet!$B$55:$B$71,MATCH(Worksheet!$M252,Worksheet!$A$55:$A$71,0)))</f>
        <v>0</v>
      </c>
      <c r="O252" s="269">
        <f>IF(M252="Choose",0,INDEX(Worksheet!$C$55:$C$71,MATCH(Worksheet!$M252,Worksheet!$A$55:$A$71,0)))</f>
        <v>0</v>
      </c>
      <c r="P252" s="267">
        <f>IF(M252="Choose",0,INDEX(Worksheet!$D$55:$D$71,MATCH(Worksheet!$M252,Worksheet!$A$55:$A$71,0)))</f>
        <v>0</v>
      </c>
      <c r="Q252" s="269">
        <f>IF(M252="Choose",0,INDEX(Worksheet!$E$55:$E$71,MATCH(Worksheet!$M252,Worksheet!$A$55:$A$71,0)))</f>
        <v>0</v>
      </c>
      <c r="R252" s="267">
        <f>IF(M252="Choose",0,INDEX(Worksheet!$F$55:$F$71,MATCH(Worksheet!$M252,Worksheet!$A$55:$A$71,0)))</f>
        <v>0</v>
      </c>
      <c r="S252" s="269">
        <f>IF(M252="Choose",0,INDEX(Worksheet!$G$55:$G$71,MATCH(Worksheet!$M252,Worksheet!$A$55:$A$71,0)))</f>
        <v>0</v>
      </c>
      <c r="T252" s="267">
        <f>IF(M252="Choose",0,INDEX(Worksheet!$H$55:$H$71,MATCH(Worksheet!$M252,Worksheet!$A$55:$A$71,0)))</f>
        <v>0</v>
      </c>
      <c r="U252" s="269">
        <f>IF(M252="Choose",0,INDEX(Worksheet!$I$55:$I$71,MATCH(Worksheet!$M252,Worksheet!$A$55:$A$71,0)))</f>
        <v>0</v>
      </c>
      <c r="V252" s="268">
        <f>IF(M252="Choose",0,INDEX(Worksheet!$J$55:$J$71,MATCH(Worksheet!$M252,Worksheet!$A$55:$A$71,0)))</f>
        <v>0</v>
      </c>
      <c r="W252" s="269">
        <f>IF(M252="Choose",0,INDEX(Worksheet!$K$55:$K$71,MATCH(Worksheet!$M252,Worksheet!$A$55:$A$71,0)))</f>
        <v>0</v>
      </c>
    </row>
    <row r="253" spans="1:23" x14ac:dyDescent="0.2">
      <c r="A253" s="34">
        <f>Request!B23</f>
        <v>0</v>
      </c>
      <c r="B253" s="106">
        <f t="shared" si="20"/>
        <v>12</v>
      </c>
      <c r="C253" s="106">
        <f t="shared" si="21"/>
        <v>12</v>
      </c>
      <c r="D253" s="106">
        <f t="shared" si="22"/>
        <v>12</v>
      </c>
      <c r="E253" s="106">
        <f t="shared" si="23"/>
        <v>12</v>
      </c>
      <c r="F253" s="106">
        <f t="shared" si="24"/>
        <v>12</v>
      </c>
      <c r="G253" s="60">
        <f>Request!N23</f>
        <v>0</v>
      </c>
      <c r="H253" s="60">
        <f>IF('Personnel Reference'!Q19="No",(Request!H23*B253/12*Request!$N23),(Request!H23*Worksheet!B253))</f>
        <v>0</v>
      </c>
      <c r="I253" s="60">
        <f>IF('Personnel Reference'!$Q19="No",(Request!I23*C253/12*Request!$N23),(Request!I23*Worksheet!C253))</f>
        <v>0</v>
      </c>
      <c r="J253" s="60">
        <f>IF('Personnel Reference'!$Q19="No",(Request!J23*D253/12*Request!$N23),(Request!J23*Worksheet!D253))</f>
        <v>0</v>
      </c>
      <c r="K253" s="60">
        <f>IF('Personnel Reference'!$Q19="No",(Request!K23*E253/12*Request!$N23),(Request!K23*Worksheet!E253))</f>
        <v>0</v>
      </c>
      <c r="L253" s="60">
        <f>IF('Personnel Reference'!$Q19="No",(Request!L23*F253/12*Request!$N23),(Request!L23*Worksheet!F253))</f>
        <v>0</v>
      </c>
      <c r="M253" s="1" t="str">
        <f>Request!E51</f>
        <v>Choose</v>
      </c>
      <c r="N253" s="267">
        <f>IF(M253="Choose",0,INDEX(Worksheet!$B$55:$B$71,MATCH(Worksheet!$M253,Worksheet!$A$55:$A$71,0)))</f>
        <v>0</v>
      </c>
      <c r="O253" s="269">
        <f>IF(M253="Choose",0,INDEX(Worksheet!$C$55:$C$71,MATCH(Worksheet!$M253,Worksheet!$A$55:$A$71,0)))</f>
        <v>0</v>
      </c>
      <c r="P253" s="267">
        <f>IF(M253="Choose",0,INDEX(Worksheet!$D$55:$D$71,MATCH(Worksheet!$M253,Worksheet!$A$55:$A$71,0)))</f>
        <v>0</v>
      </c>
      <c r="Q253" s="269">
        <f>IF(M253="Choose",0,INDEX(Worksheet!$E$55:$E$71,MATCH(Worksheet!$M253,Worksheet!$A$55:$A$71,0)))</f>
        <v>0</v>
      </c>
      <c r="R253" s="267">
        <f>IF(M253="Choose",0,INDEX(Worksheet!$F$55:$F$71,MATCH(Worksheet!$M253,Worksheet!$A$55:$A$71,0)))</f>
        <v>0</v>
      </c>
      <c r="S253" s="269">
        <f>IF(M253="Choose",0,INDEX(Worksheet!$G$55:$G$71,MATCH(Worksheet!$M253,Worksheet!$A$55:$A$71,0)))</f>
        <v>0</v>
      </c>
      <c r="T253" s="267">
        <f>IF(M253="Choose",0,INDEX(Worksheet!$H$55:$H$71,MATCH(Worksheet!$M253,Worksheet!$A$55:$A$71,0)))</f>
        <v>0</v>
      </c>
      <c r="U253" s="269">
        <f>IF(M253="Choose",0,INDEX(Worksheet!$I$55:$I$71,MATCH(Worksheet!$M253,Worksheet!$A$55:$A$71,0)))</f>
        <v>0</v>
      </c>
      <c r="V253" s="268">
        <f>IF(M253="Choose",0,INDEX(Worksheet!$J$55:$J$71,MATCH(Worksheet!$M253,Worksheet!$A$55:$A$71,0)))</f>
        <v>0</v>
      </c>
      <c r="W253" s="269">
        <f>IF(M253="Choose",0,INDEX(Worksheet!$K$55:$K$71,MATCH(Worksheet!$M253,Worksheet!$A$55:$A$71,0)))</f>
        <v>0</v>
      </c>
    </row>
    <row r="254" spans="1:23" x14ac:dyDescent="0.2">
      <c r="A254" s="34">
        <f>Request!B24</f>
        <v>0</v>
      </c>
      <c r="B254" s="106">
        <f t="shared" si="20"/>
        <v>12</v>
      </c>
      <c r="C254" s="106">
        <f t="shared" si="21"/>
        <v>12</v>
      </c>
      <c r="D254" s="106">
        <f t="shared" si="22"/>
        <v>12</v>
      </c>
      <c r="E254" s="106">
        <f t="shared" si="23"/>
        <v>12</v>
      </c>
      <c r="F254" s="106">
        <f t="shared" si="24"/>
        <v>12</v>
      </c>
      <c r="G254" s="60">
        <f>Request!N24</f>
        <v>0</v>
      </c>
      <c r="H254" s="60">
        <f>IF('Personnel Reference'!Q20="No",(Request!H24*B254/12*Request!$N24),(Request!H24*Worksheet!B254))</f>
        <v>0</v>
      </c>
      <c r="I254" s="60">
        <f>IF('Personnel Reference'!$Q20="No",(Request!I24*C254/12*Request!$N24),(Request!I24*Worksheet!C254))</f>
        <v>0</v>
      </c>
      <c r="J254" s="60">
        <f>IF('Personnel Reference'!$Q20="No",(Request!J24*D254/12*Request!$N24),(Request!J24*Worksheet!D254))</f>
        <v>0</v>
      </c>
      <c r="K254" s="60">
        <f>IF('Personnel Reference'!$Q20="No",(Request!K24*E254/12*Request!$N24),(Request!K24*Worksheet!E254))</f>
        <v>0</v>
      </c>
      <c r="L254" s="60">
        <f>IF('Personnel Reference'!$Q20="No",(Request!L24*F254/12*Request!$N24),(Request!L24*Worksheet!F254))</f>
        <v>0</v>
      </c>
      <c r="M254" s="1" t="str">
        <f>Request!E52</f>
        <v>Choose</v>
      </c>
      <c r="N254" s="267">
        <f>IF(M254="Choose",0,INDEX(Worksheet!$B$55:$B$71,MATCH(Worksheet!$M254,Worksheet!$A$55:$A$71,0)))</f>
        <v>0</v>
      </c>
      <c r="O254" s="269">
        <f>IF(M254="Choose",0,INDEX(Worksheet!$C$55:$C$71,MATCH(Worksheet!$M254,Worksheet!$A$55:$A$71,0)))</f>
        <v>0</v>
      </c>
      <c r="P254" s="267">
        <f>IF(M254="Choose",0,INDEX(Worksheet!$D$55:$D$71,MATCH(Worksheet!$M254,Worksheet!$A$55:$A$71,0)))</f>
        <v>0</v>
      </c>
      <c r="Q254" s="269">
        <f>IF(M254="Choose",0,INDEX(Worksheet!$E$55:$E$71,MATCH(Worksheet!$M254,Worksheet!$A$55:$A$71,0)))</f>
        <v>0</v>
      </c>
      <c r="R254" s="267">
        <f>IF(M254="Choose",0,INDEX(Worksheet!$F$55:$F$71,MATCH(Worksheet!$M254,Worksheet!$A$55:$A$71,0)))</f>
        <v>0</v>
      </c>
      <c r="S254" s="269">
        <f>IF(M254="Choose",0,INDEX(Worksheet!$G$55:$G$71,MATCH(Worksheet!$M254,Worksheet!$A$55:$A$71,0)))</f>
        <v>0</v>
      </c>
      <c r="T254" s="267">
        <f>IF(M254="Choose",0,INDEX(Worksheet!$H$55:$H$71,MATCH(Worksheet!$M254,Worksheet!$A$55:$A$71,0)))</f>
        <v>0</v>
      </c>
      <c r="U254" s="269">
        <f>IF(M254="Choose",0,INDEX(Worksheet!$I$55:$I$71,MATCH(Worksheet!$M254,Worksheet!$A$55:$A$71,0)))</f>
        <v>0</v>
      </c>
      <c r="V254" s="268">
        <f>IF(M254="Choose",0,INDEX(Worksheet!$J$55:$J$71,MATCH(Worksheet!$M254,Worksheet!$A$55:$A$71,0)))</f>
        <v>0</v>
      </c>
      <c r="W254" s="269">
        <f>IF(M254="Choose",0,INDEX(Worksheet!$K$55:$K$71,MATCH(Worksheet!$M254,Worksheet!$A$55:$A$71,0)))</f>
        <v>0</v>
      </c>
    </row>
    <row r="255" spans="1:23" x14ac:dyDescent="0.2">
      <c r="A255" s="34">
        <f>Request!B25</f>
        <v>0</v>
      </c>
      <c r="B255" s="106">
        <f t="shared" si="20"/>
        <v>12</v>
      </c>
      <c r="C255" s="106">
        <f t="shared" si="21"/>
        <v>12</v>
      </c>
      <c r="D255" s="106">
        <f t="shared" si="22"/>
        <v>12</v>
      </c>
      <c r="E255" s="106">
        <f t="shared" si="23"/>
        <v>12</v>
      </c>
      <c r="F255" s="106">
        <f t="shared" si="24"/>
        <v>12</v>
      </c>
      <c r="G255" s="60">
        <f>Request!N25</f>
        <v>0</v>
      </c>
      <c r="H255" s="60">
        <f>IF('Personnel Reference'!Q21="No",(Request!H25*B255/12*Request!$N25),(Request!H25*Worksheet!B255))</f>
        <v>0</v>
      </c>
      <c r="I255" s="60">
        <f>IF('Personnel Reference'!$Q21="No",(Request!I25*C255/12*Request!$N25),(Request!I25*Worksheet!C255))</f>
        <v>0</v>
      </c>
      <c r="J255" s="60">
        <f>IF('Personnel Reference'!$Q21="No",(Request!J25*D255/12*Request!$N25),(Request!J25*Worksheet!D255))</f>
        <v>0</v>
      </c>
      <c r="K255" s="60">
        <f>IF('Personnel Reference'!$Q21="No",(Request!K25*E255/12*Request!$N25),(Request!K25*Worksheet!E255))</f>
        <v>0</v>
      </c>
      <c r="L255" s="60">
        <f>IF('Personnel Reference'!$Q21="No",(Request!L25*F255/12*Request!$N25),(Request!L25*Worksheet!F255))</f>
        <v>0</v>
      </c>
      <c r="M255" s="1" t="str">
        <f>Request!E53</f>
        <v>Choose</v>
      </c>
      <c r="N255" s="267">
        <f>IF(M255="Choose",0,INDEX(Worksheet!$B$55:$B$71,MATCH(Worksheet!$M255,Worksheet!$A$55:$A$71,0)))</f>
        <v>0</v>
      </c>
      <c r="O255" s="269">
        <f>IF(M255="Choose",0,INDEX(Worksheet!$C$55:$C$71,MATCH(Worksheet!$M255,Worksheet!$A$55:$A$71,0)))</f>
        <v>0</v>
      </c>
      <c r="P255" s="267">
        <f>IF(M255="Choose",0,INDEX(Worksheet!$D$55:$D$71,MATCH(Worksheet!$M255,Worksheet!$A$55:$A$71,0)))</f>
        <v>0</v>
      </c>
      <c r="Q255" s="269">
        <f>IF(M255="Choose",0,INDEX(Worksheet!$E$55:$E$71,MATCH(Worksheet!$M255,Worksheet!$A$55:$A$71,0)))</f>
        <v>0</v>
      </c>
      <c r="R255" s="267">
        <f>IF(M255="Choose",0,INDEX(Worksheet!$F$55:$F$71,MATCH(Worksheet!$M255,Worksheet!$A$55:$A$71,0)))</f>
        <v>0</v>
      </c>
      <c r="S255" s="269">
        <f>IF(M255="Choose",0,INDEX(Worksheet!$G$55:$G$71,MATCH(Worksheet!$M255,Worksheet!$A$55:$A$71,0)))</f>
        <v>0</v>
      </c>
      <c r="T255" s="267">
        <f>IF(M255="Choose",0,INDEX(Worksheet!$H$55:$H$71,MATCH(Worksheet!$M255,Worksheet!$A$55:$A$71,0)))</f>
        <v>0</v>
      </c>
      <c r="U255" s="269">
        <f>IF(M255="Choose",0,INDEX(Worksheet!$I$55:$I$71,MATCH(Worksheet!$M255,Worksheet!$A$55:$A$71,0)))</f>
        <v>0</v>
      </c>
      <c r="V255" s="268">
        <f>IF(M255="Choose",0,INDEX(Worksheet!$J$55:$J$71,MATCH(Worksheet!$M255,Worksheet!$A$55:$A$71,0)))</f>
        <v>0</v>
      </c>
      <c r="W255" s="269">
        <f>IF(M255="Choose",0,INDEX(Worksheet!$K$55:$K$71,MATCH(Worksheet!$M255,Worksheet!$A$55:$A$71,0)))</f>
        <v>0</v>
      </c>
    </row>
    <row r="256" spans="1:23" x14ac:dyDescent="0.2">
      <c r="A256" s="34">
        <f>Request!B26</f>
        <v>0</v>
      </c>
      <c r="B256" s="106">
        <f t="shared" si="20"/>
        <v>12</v>
      </c>
      <c r="C256" s="106">
        <f t="shared" si="21"/>
        <v>12</v>
      </c>
      <c r="D256" s="106">
        <f t="shared" si="22"/>
        <v>12</v>
      </c>
      <c r="E256" s="106">
        <f t="shared" si="23"/>
        <v>12</v>
      </c>
      <c r="F256" s="106">
        <f t="shared" si="24"/>
        <v>12</v>
      </c>
      <c r="G256" s="60">
        <f>Request!N26</f>
        <v>0</v>
      </c>
      <c r="H256" s="60">
        <f>IF('Personnel Reference'!Q22="No",(Request!H26*B256/12*Request!$N26),(Request!H26*Worksheet!B256))</f>
        <v>0</v>
      </c>
      <c r="I256" s="60">
        <f>IF('Personnel Reference'!$Q22="No",(Request!I26*C256/12*Request!$N26),(Request!I26*Worksheet!C256))</f>
        <v>0</v>
      </c>
      <c r="J256" s="60">
        <f>IF('Personnel Reference'!$Q22="No",(Request!J26*D256/12*Request!$N26),(Request!J26*Worksheet!D256))</f>
        <v>0</v>
      </c>
      <c r="K256" s="60">
        <f>IF('Personnel Reference'!$Q22="No",(Request!K26*E256/12*Request!$N26),(Request!K26*Worksheet!E256))</f>
        <v>0</v>
      </c>
      <c r="L256" s="60">
        <f>IF('Personnel Reference'!$Q22="No",(Request!L26*F256/12*Request!$N26),(Request!L26*Worksheet!F256))</f>
        <v>0</v>
      </c>
      <c r="M256" s="1" t="str">
        <f>Request!E54</f>
        <v>Choose</v>
      </c>
      <c r="N256" s="267">
        <f>IF(M256="Choose",0,INDEX(Worksheet!$B$55:$B$71,MATCH(Worksheet!$M256,Worksheet!$A$55:$A$71,0)))</f>
        <v>0</v>
      </c>
      <c r="O256" s="269">
        <f>IF(M256="Choose",0,INDEX(Worksheet!$C$55:$C$71,MATCH(Worksheet!$M256,Worksheet!$A$55:$A$71,0)))</f>
        <v>0</v>
      </c>
      <c r="P256" s="267">
        <f>IF(M256="Choose",0,INDEX(Worksheet!$D$55:$D$71,MATCH(Worksheet!$M256,Worksheet!$A$55:$A$71,0)))</f>
        <v>0</v>
      </c>
      <c r="Q256" s="269">
        <f>IF(M256="Choose",0,INDEX(Worksheet!$E$55:$E$71,MATCH(Worksheet!$M256,Worksheet!$A$55:$A$71,0)))</f>
        <v>0</v>
      </c>
      <c r="R256" s="267">
        <f>IF(M256="Choose",0,INDEX(Worksheet!$F$55:$F$71,MATCH(Worksheet!$M256,Worksheet!$A$55:$A$71,0)))</f>
        <v>0</v>
      </c>
      <c r="S256" s="269">
        <f>IF(M256="Choose",0,INDEX(Worksheet!$G$55:$G$71,MATCH(Worksheet!$M256,Worksheet!$A$55:$A$71,0)))</f>
        <v>0</v>
      </c>
      <c r="T256" s="267">
        <f>IF(M256="Choose",0,INDEX(Worksheet!$H$55:$H$71,MATCH(Worksheet!$M256,Worksheet!$A$55:$A$71,0)))</f>
        <v>0</v>
      </c>
      <c r="U256" s="269">
        <f>IF(M256="Choose",0,INDEX(Worksheet!$I$55:$I$71,MATCH(Worksheet!$M256,Worksheet!$A$55:$A$71,0)))</f>
        <v>0</v>
      </c>
      <c r="V256" s="268">
        <f>IF(M256="Choose",0,INDEX(Worksheet!$J$55:$J$71,MATCH(Worksheet!$M256,Worksheet!$A$55:$A$71,0)))</f>
        <v>0</v>
      </c>
      <c r="W256" s="269">
        <f>IF(M256="Choose",0,INDEX(Worksheet!$K$55:$K$71,MATCH(Worksheet!$M256,Worksheet!$A$55:$A$71,0)))</f>
        <v>0</v>
      </c>
    </row>
    <row r="257" spans="1:23" x14ac:dyDescent="0.2">
      <c r="A257" s="34">
        <f>Request!B27</f>
        <v>0</v>
      </c>
      <c r="B257" s="106">
        <f t="shared" si="20"/>
        <v>12</v>
      </c>
      <c r="C257" s="106">
        <f t="shared" si="21"/>
        <v>12</v>
      </c>
      <c r="D257" s="106">
        <f t="shared" si="22"/>
        <v>12</v>
      </c>
      <c r="E257" s="106">
        <f t="shared" si="23"/>
        <v>12</v>
      </c>
      <c r="F257" s="106">
        <f t="shared" si="24"/>
        <v>12</v>
      </c>
      <c r="G257" s="60">
        <f>Request!N27</f>
        <v>0</v>
      </c>
      <c r="H257" s="60">
        <f>IF('Personnel Reference'!Q23="No",(Request!H27*B257/12*Request!$N27),(Request!H27*Worksheet!B257))</f>
        <v>0</v>
      </c>
      <c r="I257" s="60">
        <f>IF('Personnel Reference'!$Q23="No",(Request!I27*C257/12*Request!$N27),(Request!I27*Worksheet!C257))</f>
        <v>0</v>
      </c>
      <c r="J257" s="60">
        <f>IF('Personnel Reference'!$Q23="No",(Request!J27*D257/12*Request!$N27),(Request!J27*Worksheet!D257))</f>
        <v>0</v>
      </c>
      <c r="K257" s="60">
        <f>IF('Personnel Reference'!$Q23="No",(Request!K27*E257/12*Request!$N27),(Request!K27*Worksheet!E257))</f>
        <v>0</v>
      </c>
      <c r="L257" s="60">
        <f>IF('Personnel Reference'!$Q23="No",(Request!L27*F257/12*Request!$N27),(Request!L27*Worksheet!F257))</f>
        <v>0</v>
      </c>
      <c r="M257" s="1" t="str">
        <f>Request!E55</f>
        <v>Choose</v>
      </c>
      <c r="N257" s="267">
        <f>IF(M257="Choose",0,INDEX(Worksheet!$B$55:$B$71,MATCH(Worksheet!$M257,Worksheet!$A$55:$A$71,0)))</f>
        <v>0</v>
      </c>
      <c r="O257" s="269">
        <f>IF(M257="Choose",0,INDEX(Worksheet!$C$55:$C$71,MATCH(Worksheet!$M257,Worksheet!$A$55:$A$71,0)))</f>
        <v>0</v>
      </c>
      <c r="P257" s="267">
        <f>IF(M257="Choose",0,INDEX(Worksheet!$D$55:$D$71,MATCH(Worksheet!$M257,Worksheet!$A$55:$A$71,0)))</f>
        <v>0</v>
      </c>
      <c r="Q257" s="269">
        <f>IF(M257="Choose",0,INDEX(Worksheet!$E$55:$E$71,MATCH(Worksheet!$M257,Worksheet!$A$55:$A$71,0)))</f>
        <v>0</v>
      </c>
      <c r="R257" s="267">
        <f>IF(M257="Choose",0,INDEX(Worksheet!$F$55:$F$71,MATCH(Worksheet!$M257,Worksheet!$A$55:$A$71,0)))</f>
        <v>0</v>
      </c>
      <c r="S257" s="269">
        <f>IF(M257="Choose",0,INDEX(Worksheet!$G$55:$G$71,MATCH(Worksheet!$M257,Worksheet!$A$55:$A$71,0)))</f>
        <v>0</v>
      </c>
      <c r="T257" s="267">
        <f>IF(M257="Choose",0,INDEX(Worksheet!$H$55:$H$71,MATCH(Worksheet!$M257,Worksheet!$A$55:$A$71,0)))</f>
        <v>0</v>
      </c>
      <c r="U257" s="269">
        <f>IF(M257="Choose",0,INDEX(Worksheet!$I$55:$I$71,MATCH(Worksheet!$M257,Worksheet!$A$55:$A$71,0)))</f>
        <v>0</v>
      </c>
      <c r="V257" s="268">
        <f>IF(M257="Choose",0,INDEX(Worksheet!$J$55:$J$71,MATCH(Worksheet!$M257,Worksheet!$A$55:$A$71,0)))</f>
        <v>0</v>
      </c>
      <c r="W257" s="269">
        <f>IF(M257="Choose",0,INDEX(Worksheet!$K$55:$K$71,MATCH(Worksheet!$M257,Worksheet!$A$55:$A$71,0)))</f>
        <v>0</v>
      </c>
    </row>
    <row r="258" spans="1:23" x14ac:dyDescent="0.2">
      <c r="A258" s="34">
        <f>Request!B28</f>
        <v>0</v>
      </c>
      <c r="B258" s="106">
        <f t="shared" si="20"/>
        <v>12</v>
      </c>
      <c r="C258" s="106">
        <f t="shared" si="21"/>
        <v>12</v>
      </c>
      <c r="D258" s="106">
        <f t="shared" si="22"/>
        <v>12</v>
      </c>
      <c r="E258" s="106">
        <f t="shared" si="23"/>
        <v>12</v>
      </c>
      <c r="F258" s="106">
        <f t="shared" si="24"/>
        <v>12</v>
      </c>
      <c r="G258" s="60">
        <f>Request!N28</f>
        <v>0</v>
      </c>
      <c r="H258" s="60">
        <f>IF('Personnel Reference'!Q24="No",(Request!H28*B258/12*Request!$N28),(Request!H28*Worksheet!B258))</f>
        <v>0</v>
      </c>
      <c r="I258" s="60">
        <f>IF('Personnel Reference'!$Q24="No",(Request!I28*C258/12*Request!$N28),(Request!I28*Worksheet!C258))</f>
        <v>0</v>
      </c>
      <c r="J258" s="60">
        <f>IF('Personnel Reference'!$Q24="No",(Request!J28*D258/12*Request!$N28),(Request!J28*Worksheet!D258))</f>
        <v>0</v>
      </c>
      <c r="K258" s="60">
        <f>IF('Personnel Reference'!$Q24="No",(Request!K28*E258/12*Request!$N28),(Request!K28*Worksheet!E258))</f>
        <v>0</v>
      </c>
      <c r="L258" s="60">
        <f>IF('Personnel Reference'!$Q24="No",(Request!L28*F258/12*Request!$N28),(Request!L28*Worksheet!F258))</f>
        <v>0</v>
      </c>
      <c r="M258" s="1" t="str">
        <f>Request!E56</f>
        <v>Choose</v>
      </c>
      <c r="N258" s="267">
        <f>IF(M258="Choose",0,INDEX(Worksheet!$B$55:$B$71,MATCH(Worksheet!$M258,Worksheet!$A$55:$A$71,0)))</f>
        <v>0</v>
      </c>
      <c r="O258" s="269">
        <f>IF(M258="Choose",0,INDEX(Worksheet!$C$55:$C$71,MATCH(Worksheet!$M258,Worksheet!$A$55:$A$71,0)))</f>
        <v>0</v>
      </c>
      <c r="P258" s="267">
        <f>IF(M258="Choose",0,INDEX(Worksheet!$D$55:$D$71,MATCH(Worksheet!$M258,Worksheet!$A$55:$A$71,0)))</f>
        <v>0</v>
      </c>
      <c r="Q258" s="269">
        <f>IF(M258="Choose",0,INDEX(Worksheet!$E$55:$E$71,MATCH(Worksheet!$M258,Worksheet!$A$55:$A$71,0)))</f>
        <v>0</v>
      </c>
      <c r="R258" s="267">
        <f>IF(M258="Choose",0,INDEX(Worksheet!$F$55:$F$71,MATCH(Worksheet!$M258,Worksheet!$A$55:$A$71,0)))</f>
        <v>0</v>
      </c>
      <c r="S258" s="269">
        <f>IF(M258="Choose",0,INDEX(Worksheet!$G$55:$G$71,MATCH(Worksheet!$M258,Worksheet!$A$55:$A$71,0)))</f>
        <v>0</v>
      </c>
      <c r="T258" s="267">
        <f>IF(M258="Choose",0,INDEX(Worksheet!$H$55:$H$71,MATCH(Worksheet!$M258,Worksheet!$A$55:$A$71,0)))</f>
        <v>0</v>
      </c>
      <c r="U258" s="269">
        <f>IF(M258="Choose",0,INDEX(Worksheet!$I$55:$I$71,MATCH(Worksheet!$M258,Worksheet!$A$55:$A$71,0)))</f>
        <v>0</v>
      </c>
      <c r="V258" s="268">
        <f>IF(M258="Choose",0,INDEX(Worksheet!$J$55:$J$71,MATCH(Worksheet!$M258,Worksheet!$A$55:$A$71,0)))</f>
        <v>0</v>
      </c>
      <c r="W258" s="269">
        <f>IF(M258="Choose",0,INDEX(Worksheet!$K$55:$K$71,MATCH(Worksheet!$M258,Worksheet!$A$55:$A$71,0)))</f>
        <v>0</v>
      </c>
    </row>
    <row r="259" spans="1:23" x14ac:dyDescent="0.2">
      <c r="A259" s="34">
        <f>Request!B29</f>
        <v>0</v>
      </c>
      <c r="B259" s="106">
        <f t="shared" si="20"/>
        <v>12</v>
      </c>
      <c r="C259" s="106">
        <f t="shared" si="21"/>
        <v>12</v>
      </c>
      <c r="D259" s="106">
        <f t="shared" si="22"/>
        <v>12</v>
      </c>
      <c r="E259" s="106">
        <f t="shared" si="23"/>
        <v>12</v>
      </c>
      <c r="F259" s="106">
        <f t="shared" si="24"/>
        <v>12</v>
      </c>
      <c r="G259" s="60">
        <f>Request!N29</f>
        <v>0</v>
      </c>
      <c r="H259" s="60">
        <f>IF('Personnel Reference'!Q25="No",(Request!H29*B259/12*Request!$N29),(Request!H29*Worksheet!B259))</f>
        <v>0</v>
      </c>
      <c r="I259" s="60">
        <f>IF('Personnel Reference'!$Q25="No",(Request!I29*C259/12*Request!$N29),(Request!I29*Worksheet!C259))</f>
        <v>0</v>
      </c>
      <c r="J259" s="60">
        <f>IF('Personnel Reference'!$Q25="No",(Request!J29*D259/12*Request!$N29),(Request!J29*Worksheet!D259))</f>
        <v>0</v>
      </c>
      <c r="K259" s="60">
        <f>IF('Personnel Reference'!$Q25="No",(Request!K29*E259/12*Request!$N29),(Request!K29*Worksheet!E259))</f>
        <v>0</v>
      </c>
      <c r="L259" s="60">
        <f>IF('Personnel Reference'!$Q25="No",(Request!L29*F259/12*Request!$N29),(Request!L29*Worksheet!F259))</f>
        <v>0</v>
      </c>
      <c r="M259" s="1" t="str">
        <f>Request!E57</f>
        <v>Choose</v>
      </c>
      <c r="N259" s="267">
        <f>IF(M259="Choose",0,INDEX(Worksheet!$B$55:$B$71,MATCH(Worksheet!$M259,Worksheet!$A$55:$A$71,0)))</f>
        <v>0</v>
      </c>
      <c r="O259" s="269">
        <f>IF(M259="Choose",0,INDEX(Worksheet!$C$55:$C$71,MATCH(Worksheet!$M259,Worksheet!$A$55:$A$71,0)))</f>
        <v>0</v>
      </c>
      <c r="P259" s="267">
        <f>IF(M259="Choose",0,INDEX(Worksheet!$D$55:$D$71,MATCH(Worksheet!$M259,Worksheet!$A$55:$A$71,0)))</f>
        <v>0</v>
      </c>
      <c r="Q259" s="269">
        <f>IF(M259="Choose",0,INDEX(Worksheet!$E$55:$E$71,MATCH(Worksheet!$M259,Worksheet!$A$55:$A$71,0)))</f>
        <v>0</v>
      </c>
      <c r="R259" s="267">
        <f>IF(M259="Choose",0,INDEX(Worksheet!$F$55:$F$71,MATCH(Worksheet!$M259,Worksheet!$A$55:$A$71,0)))</f>
        <v>0</v>
      </c>
      <c r="S259" s="269">
        <f>IF(M259="Choose",0,INDEX(Worksheet!$G$55:$G$71,MATCH(Worksheet!$M259,Worksheet!$A$55:$A$71,0)))</f>
        <v>0</v>
      </c>
      <c r="T259" s="267">
        <f>IF(M259="Choose",0,INDEX(Worksheet!$H$55:$H$71,MATCH(Worksheet!$M259,Worksheet!$A$55:$A$71,0)))</f>
        <v>0</v>
      </c>
      <c r="U259" s="269">
        <f>IF(M259="Choose",0,INDEX(Worksheet!$I$55:$I$71,MATCH(Worksheet!$M259,Worksheet!$A$55:$A$71,0)))</f>
        <v>0</v>
      </c>
      <c r="V259" s="268">
        <f>IF(M259="Choose",0,INDEX(Worksheet!$J$55:$J$71,MATCH(Worksheet!$M259,Worksheet!$A$55:$A$71,0)))</f>
        <v>0</v>
      </c>
      <c r="W259" s="269">
        <f>IF(M259="Choose",0,INDEX(Worksheet!$K$55:$K$71,MATCH(Worksheet!$M259,Worksheet!$A$55:$A$71,0)))</f>
        <v>0</v>
      </c>
    </row>
    <row r="260" spans="1:23" x14ac:dyDescent="0.2">
      <c r="A260" s="34">
        <f>Request!B30</f>
        <v>0</v>
      </c>
      <c r="B260" s="106">
        <f t="shared" si="20"/>
        <v>12</v>
      </c>
      <c r="C260" s="106">
        <f t="shared" si="21"/>
        <v>12</v>
      </c>
      <c r="D260" s="106">
        <f t="shared" si="22"/>
        <v>12</v>
      </c>
      <c r="E260" s="106">
        <f t="shared" si="23"/>
        <v>12</v>
      </c>
      <c r="F260" s="106">
        <f t="shared" si="24"/>
        <v>12</v>
      </c>
      <c r="G260" s="60">
        <f>Request!N30</f>
        <v>0</v>
      </c>
      <c r="H260" s="60">
        <f>IF('Personnel Reference'!Q26="No",(Request!H30*B260/12*Request!$N30),(Request!H30*Worksheet!B260))</f>
        <v>0</v>
      </c>
      <c r="I260" s="60">
        <f>IF('Personnel Reference'!$Q26="No",(Request!I30*C260/12*Request!$N30),(Request!I30*Worksheet!C260))</f>
        <v>0</v>
      </c>
      <c r="J260" s="60">
        <f>IF('Personnel Reference'!$Q26="No",(Request!J30*D260/12*Request!$N30),(Request!J30*Worksheet!D260))</f>
        <v>0</v>
      </c>
      <c r="K260" s="60">
        <f>IF('Personnel Reference'!$Q26="No",(Request!K30*E260/12*Request!$N30),(Request!K30*Worksheet!E260))</f>
        <v>0</v>
      </c>
      <c r="L260" s="60">
        <f>IF('Personnel Reference'!$Q26="No",(Request!L30*F260/12*Request!$N30),(Request!L30*Worksheet!F260))</f>
        <v>0</v>
      </c>
      <c r="M260" s="1" t="str">
        <f>Request!E58</f>
        <v>Choose</v>
      </c>
      <c r="N260" s="267">
        <f>IF(M260="Choose",0,INDEX(Worksheet!$B$55:$B$71,MATCH(Worksheet!$M260,Worksheet!$A$55:$A$71,0)))</f>
        <v>0</v>
      </c>
      <c r="O260" s="269">
        <f>IF(M260="Choose",0,INDEX(Worksheet!$C$55:$C$71,MATCH(Worksheet!$M260,Worksheet!$A$55:$A$71,0)))</f>
        <v>0</v>
      </c>
      <c r="P260" s="267">
        <f>IF(M260="Choose",0,INDEX(Worksheet!$D$55:$D$71,MATCH(Worksheet!$M260,Worksheet!$A$55:$A$71,0)))</f>
        <v>0</v>
      </c>
      <c r="Q260" s="269">
        <f>IF(M260="Choose",0,INDEX(Worksheet!$E$55:$E$71,MATCH(Worksheet!$M260,Worksheet!$A$55:$A$71,0)))</f>
        <v>0</v>
      </c>
      <c r="R260" s="267">
        <f>IF(M260="Choose",0,INDEX(Worksheet!$F$55:$F$71,MATCH(Worksheet!$M260,Worksheet!$A$55:$A$71,0)))</f>
        <v>0</v>
      </c>
      <c r="S260" s="269">
        <f>IF(M260="Choose",0,INDEX(Worksheet!$G$55:$G$71,MATCH(Worksheet!$M260,Worksheet!$A$55:$A$71,0)))</f>
        <v>0</v>
      </c>
      <c r="T260" s="267">
        <f>IF(M260="Choose",0,INDEX(Worksheet!$H$55:$H$71,MATCH(Worksheet!$M260,Worksheet!$A$55:$A$71,0)))</f>
        <v>0</v>
      </c>
      <c r="U260" s="269">
        <f>IF(M260="Choose",0,INDEX(Worksheet!$I$55:$I$71,MATCH(Worksheet!$M260,Worksheet!$A$55:$A$71,0)))</f>
        <v>0</v>
      </c>
      <c r="V260" s="268">
        <f>IF(M260="Choose",0,INDEX(Worksheet!$J$55:$J$71,MATCH(Worksheet!$M260,Worksheet!$A$55:$A$71,0)))</f>
        <v>0</v>
      </c>
      <c r="W260" s="269">
        <f>IF(M260="Choose",0,INDEX(Worksheet!$K$55:$K$71,MATCH(Worksheet!$M260,Worksheet!$A$55:$A$71,0)))</f>
        <v>0</v>
      </c>
    </row>
    <row r="261" spans="1:23" x14ac:dyDescent="0.2">
      <c r="A261" s="34">
        <f>Request!B31</f>
        <v>0</v>
      </c>
      <c r="B261" s="106">
        <f t="shared" si="20"/>
        <v>12</v>
      </c>
      <c r="C261" s="106">
        <f t="shared" si="21"/>
        <v>12</v>
      </c>
      <c r="D261" s="106">
        <f t="shared" si="22"/>
        <v>12</v>
      </c>
      <c r="E261" s="106">
        <f t="shared" si="23"/>
        <v>12</v>
      </c>
      <c r="F261" s="106">
        <f t="shared" si="24"/>
        <v>12</v>
      </c>
      <c r="G261" s="60">
        <f>Request!N31</f>
        <v>0</v>
      </c>
      <c r="H261" s="60">
        <f>IF('Personnel Reference'!Q27="No",(Request!H31*B261/12*Request!$N31),(Request!H31*Worksheet!B261))</f>
        <v>0</v>
      </c>
      <c r="I261" s="60">
        <f>IF('Personnel Reference'!$Q27="No",(Request!I31*C261/12*Request!$N31),(Request!I31*Worksheet!C261))</f>
        <v>0</v>
      </c>
      <c r="J261" s="60">
        <f>IF('Personnel Reference'!$Q27="No",(Request!J31*D261/12*Request!$N31),(Request!J31*Worksheet!D261))</f>
        <v>0</v>
      </c>
      <c r="K261" s="60">
        <f>IF('Personnel Reference'!$Q27="No",(Request!K31*E261/12*Request!$N31),(Request!K31*Worksheet!E261))</f>
        <v>0</v>
      </c>
      <c r="L261" s="60">
        <f>IF('Personnel Reference'!$Q27="No",(Request!L31*F261/12*Request!$N31),(Request!L31*Worksheet!F261))</f>
        <v>0</v>
      </c>
      <c r="M261" s="1" t="str">
        <f>Request!E59</f>
        <v>Choose</v>
      </c>
      <c r="N261" s="267">
        <f>IF(M261="Choose",0,INDEX(Worksheet!$B$55:$B$71,MATCH(Worksheet!$M261,Worksheet!$A$55:$A$71,0)))</f>
        <v>0</v>
      </c>
      <c r="O261" s="269">
        <f>IF(M261="Choose",0,INDEX(Worksheet!$C$55:$C$71,MATCH(Worksheet!$M261,Worksheet!$A$55:$A$71,0)))</f>
        <v>0</v>
      </c>
      <c r="P261" s="267">
        <f>IF(M261="Choose",0,INDEX(Worksheet!$D$55:$D$71,MATCH(Worksheet!$M261,Worksheet!$A$55:$A$71,0)))</f>
        <v>0</v>
      </c>
      <c r="Q261" s="269">
        <f>IF(M261="Choose",0,INDEX(Worksheet!$E$55:$E$71,MATCH(Worksheet!$M261,Worksheet!$A$55:$A$71,0)))</f>
        <v>0</v>
      </c>
      <c r="R261" s="267">
        <f>IF(M261="Choose",0,INDEX(Worksheet!$F$55:$F$71,MATCH(Worksheet!$M261,Worksheet!$A$55:$A$71,0)))</f>
        <v>0</v>
      </c>
      <c r="S261" s="269">
        <f>IF(M261="Choose",0,INDEX(Worksheet!$G$55:$G$71,MATCH(Worksheet!$M261,Worksheet!$A$55:$A$71,0)))</f>
        <v>0</v>
      </c>
      <c r="T261" s="267">
        <f>IF(M261="Choose",0,INDEX(Worksheet!$H$55:$H$71,MATCH(Worksheet!$M261,Worksheet!$A$55:$A$71,0)))</f>
        <v>0</v>
      </c>
      <c r="U261" s="269">
        <f>IF(M261="Choose",0,INDEX(Worksheet!$I$55:$I$71,MATCH(Worksheet!$M261,Worksheet!$A$55:$A$71,0)))</f>
        <v>0</v>
      </c>
      <c r="V261" s="268">
        <f>IF(M261="Choose",0,INDEX(Worksheet!$J$55:$J$71,MATCH(Worksheet!$M261,Worksheet!$A$55:$A$71,0)))</f>
        <v>0</v>
      </c>
      <c r="W261" s="269">
        <f>IF(M261="Choose",0,INDEX(Worksheet!$K$55:$K$71,MATCH(Worksheet!$M261,Worksheet!$A$55:$A$71,0)))</f>
        <v>0</v>
      </c>
    </row>
    <row r="264" spans="1:23" x14ac:dyDescent="0.2">
      <c r="A264" s="1" t="s">
        <v>123</v>
      </c>
      <c r="E264" s="6" t="s">
        <v>7</v>
      </c>
      <c r="F264" s="6" t="s">
        <v>8</v>
      </c>
      <c r="G264" s="6" t="s">
        <v>9</v>
      </c>
      <c r="H264" s="6" t="s">
        <v>18</v>
      </c>
      <c r="I264" s="6" t="s">
        <v>10</v>
      </c>
    </row>
    <row r="265" spans="1:23" x14ac:dyDescent="0.2">
      <c r="A265" s="311" t="s">
        <v>120</v>
      </c>
      <c r="B265" s="313" t="s">
        <v>124</v>
      </c>
      <c r="C265" s="313"/>
      <c r="D265" s="314"/>
      <c r="E265" s="89">
        <f t="shared" ref="E265:I266" si="25">C13</f>
        <v>0.5</v>
      </c>
      <c r="F265" s="89">
        <f t="shared" si="25"/>
        <v>0.5</v>
      </c>
      <c r="G265" s="89">
        <f t="shared" si="25"/>
        <v>0.5</v>
      </c>
      <c r="H265" s="89">
        <f t="shared" si="25"/>
        <v>0.5</v>
      </c>
      <c r="I265" s="89">
        <f t="shared" si="25"/>
        <v>0.5</v>
      </c>
    </row>
    <row r="266" spans="1:23" x14ac:dyDescent="0.2">
      <c r="A266" s="312"/>
      <c r="B266" s="313" t="s">
        <v>125</v>
      </c>
      <c r="C266" s="313"/>
      <c r="D266" s="314"/>
      <c r="E266" s="89">
        <f t="shared" si="25"/>
        <v>2.5</v>
      </c>
      <c r="F266" s="89">
        <f t="shared" si="25"/>
        <v>2.5</v>
      </c>
      <c r="G266" s="89">
        <f t="shared" si="25"/>
        <v>2.5</v>
      </c>
      <c r="H266" s="89">
        <f t="shared" si="25"/>
        <v>2.5</v>
      </c>
      <c r="I266" s="89">
        <f t="shared" si="25"/>
        <v>2.5</v>
      </c>
    </row>
    <row r="267" spans="1:23" x14ac:dyDescent="0.2">
      <c r="A267" s="311" t="s">
        <v>121</v>
      </c>
      <c r="B267" s="313" t="s">
        <v>124</v>
      </c>
      <c r="C267" s="313"/>
      <c r="D267" s="314"/>
      <c r="E267" s="4">
        <f>IF(AND(MONTH(C2)=9,DAY(C2)&lt;=5),0.5,IF(AND(MONTH(C2)=7,DAY(C2)&lt;=5),2.5,IF(AND(MONTH(C2)=7,DAY(C2)&gt;5),2,IF(AND(MONTH(C2)=8,DAY(C2)&lt;=5),1.5,IF(AND(MONTH(C2)=8,DAY(C2)&gt;5),1,0)))))</f>
        <v>0</v>
      </c>
      <c r="F267" s="4">
        <f>IF(AND(MONTH(D2)=9,DAY(D2)&lt;=5),0.5,IF(AND(MONTH(D2)=7,DAY(D2)&lt;=5),2.5,IF(AND(MONTH(D2)=7,DAY(D2)&gt;5),2,IF(AND(MONTH(D2)=8,DAY(D2)&lt;=5),1.5,IF(AND(MONTH(D2)=8,DAY(D2)&gt;5),1,0)))))</f>
        <v>0</v>
      </c>
      <c r="G267" s="4">
        <f>IF(AND(MONTH(E2)=9,DAY(E2)&lt;=5),0.5,IF(AND(MONTH(E2)=7,DAY(E2)&lt;=5),2.5,IF(AND(MONTH(E2)=7,DAY(E2)&gt;5),2,IF(AND(MONTH(E2)=8,DAY(E2)&lt;=5),1.5,IF(AND(MONTH(E2)=8,DAY(E2)&gt;5),1,0)))))</f>
        <v>0</v>
      </c>
      <c r="H267" s="4">
        <f>IF(AND(MONTH(F2)=9,DAY(F2)&lt;=5),0.5,IF(AND(MONTH(F2)=7,DAY(F2)&lt;=5),2.5,IF(AND(MONTH(F2)=7,DAY(F2)&gt;5),2,IF(AND(MONTH(F2)=8,DAY(F2)&lt;=5),1.5,IF(AND(MONTH(F2)=8,DAY(F2)&gt;5),1,0)))))</f>
        <v>0</v>
      </c>
      <c r="I267" s="4">
        <f>IF(AND(MONTH(G2)=9,DAY(G2)&lt;=5),0.5,IF(AND(MONTH(G2)=7,DAY(G2)&lt;=5),2.5,IF(AND(MONTH(G2)=7,DAY(G2)&gt;5),2,IF(AND(MONTH(G2)=8,DAY(G2)&lt;=5),1.5,IF(AND(MONTH(G2)=8,DAY(G2)&gt;5),1,0)))))</f>
        <v>0</v>
      </c>
    </row>
    <row r="268" spans="1:23" x14ac:dyDescent="0.2">
      <c r="A268" s="312"/>
      <c r="B268" s="313" t="s">
        <v>125</v>
      </c>
      <c r="C268" s="313"/>
      <c r="D268" s="314"/>
      <c r="E268" s="4">
        <f>2.5-E267</f>
        <v>2.5</v>
      </c>
      <c r="F268" s="4">
        <f>IF(D4="",0,2.5-F267)</f>
        <v>2.5</v>
      </c>
      <c r="G268" s="4">
        <f>IF(E4="",0,2.5-G267)</f>
        <v>2.5</v>
      </c>
      <c r="H268" s="4">
        <f>IF(F4="",0,2.5-H267)</f>
        <v>2.5</v>
      </c>
      <c r="I268" s="4">
        <f>IF(G4="",0,2.5-I267)</f>
        <v>2.5</v>
      </c>
    </row>
    <row r="269" spans="1:23" x14ac:dyDescent="0.2">
      <c r="A269" s="311" t="s">
        <v>122</v>
      </c>
      <c r="B269" s="313" t="s">
        <v>124</v>
      </c>
      <c r="C269" s="313"/>
      <c r="D269" s="314"/>
      <c r="E269" s="4">
        <f>IF(AND(MONTH(C2)=7,DAY(C2)&lt;=5),2,IF(AND(MONTH(C2)=7,DAY(C2)&gt;5),1.5,IF(AND(MONTH(C2)=8,DAY(C2)&lt;=5),1,IF(AND(MONTH(C2)=8,DAY(C2)&gt;5),0.5,0))))</f>
        <v>0</v>
      </c>
      <c r="F269" s="4">
        <f>IF(AND(MONTH(D2)=7,DAY(D2)&lt;=5),2,IF(AND(MONTH(D2)=7,DAY(D2)&gt;5),1.5,IF(AND(MONTH(D2)=8,DAY(D2)&lt;=5),1,IF(AND(MONTH(D2)=8,DAY(D2)&gt;5),0.5,0))))</f>
        <v>0</v>
      </c>
      <c r="G269" s="4">
        <f>IF(AND(MONTH(E2)=7,DAY(E2)&lt;=5),2,IF(AND(MONTH(E2)=7,DAY(E2)&gt;5),1.5,IF(AND(MONTH(E2)=8,DAY(E2)&lt;=5),1,IF(AND(MONTH(E2)=8,DAY(E2)&gt;5),0.5,0))))</f>
        <v>0</v>
      </c>
      <c r="H269" s="4">
        <f>IF(AND(MONTH(F2)=7,DAY(F2)&lt;=5),2,IF(AND(MONTH(F2)=7,DAY(F2)&gt;5),1.5,IF(AND(MONTH(F2)=8,DAY(F2)&lt;=5),1,IF(AND(MONTH(F2)=8,DAY(F2)&gt;5),0.5,0))))</f>
        <v>0</v>
      </c>
      <c r="I269" s="4">
        <f>IF(AND(MONTH(G2)=7,DAY(G2)&lt;=5),2,IF(AND(MONTH(G2)=7,DAY(G2)&gt;5),1.5,IF(AND(MONTH(G2)=8,DAY(G2)&lt;=5),1,IF(AND(MONTH(G2)=8,DAY(G2)&gt;5),0.5,0))))</f>
        <v>0</v>
      </c>
    </row>
    <row r="270" spans="1:23" x14ac:dyDescent="0.2">
      <c r="A270" s="312"/>
      <c r="B270" s="313" t="s">
        <v>125</v>
      </c>
      <c r="C270" s="313"/>
      <c r="D270" s="314"/>
      <c r="E270" s="4">
        <f>2-E269</f>
        <v>2</v>
      </c>
      <c r="F270" s="4">
        <f>IF(D4="",0,2-F269)</f>
        <v>2</v>
      </c>
      <c r="G270" s="4">
        <f>IF(E4="",0,2-G269)</f>
        <v>2</v>
      </c>
      <c r="H270" s="4">
        <f>IF(F4="",0,2-H269)</f>
        <v>2</v>
      </c>
      <c r="I270" s="4">
        <f>IF(G4="",0,2-I269)</f>
        <v>2</v>
      </c>
    </row>
    <row r="271" spans="1:23" x14ac:dyDescent="0.2">
      <c r="A271" s="311" t="s">
        <v>121</v>
      </c>
      <c r="B271" s="313" t="s">
        <v>126</v>
      </c>
      <c r="C271" s="313"/>
      <c r="D271" s="314"/>
      <c r="E271" s="91">
        <f t="shared" ref="E271:I272" si="26">IF(E267&gt;C9,C9,E267)</f>
        <v>0</v>
      </c>
      <c r="F271" s="91">
        <f t="shared" si="26"/>
        <v>0</v>
      </c>
      <c r="G271" s="91">
        <f t="shared" si="26"/>
        <v>0</v>
      </c>
      <c r="H271" s="91">
        <f t="shared" si="26"/>
        <v>0</v>
      </c>
      <c r="I271" s="91">
        <f t="shared" si="26"/>
        <v>0</v>
      </c>
    </row>
    <row r="272" spans="1:23" x14ac:dyDescent="0.2">
      <c r="A272" s="312"/>
      <c r="B272" s="313" t="s">
        <v>127</v>
      </c>
      <c r="C272" s="313"/>
      <c r="D272" s="314"/>
      <c r="E272" s="91">
        <f t="shared" si="26"/>
        <v>2.5</v>
      </c>
      <c r="F272" s="91">
        <f t="shared" si="26"/>
        <v>2.5</v>
      </c>
      <c r="G272" s="91">
        <f t="shared" si="26"/>
        <v>2.5</v>
      </c>
      <c r="H272" s="91">
        <f t="shared" si="26"/>
        <v>2.5</v>
      </c>
      <c r="I272" s="91">
        <f t="shared" si="26"/>
        <v>2.5</v>
      </c>
    </row>
    <row r="273" spans="1:12" x14ac:dyDescent="0.2">
      <c r="A273" s="311" t="s">
        <v>122</v>
      </c>
      <c r="B273" s="313" t="s">
        <v>128</v>
      </c>
      <c r="C273" s="313"/>
      <c r="D273" s="314"/>
      <c r="E273" s="91">
        <f t="shared" ref="E273:I274" si="27">IF(E269&gt;C9,C9,E269)</f>
        <v>0</v>
      </c>
      <c r="F273" s="91">
        <f t="shared" si="27"/>
        <v>0</v>
      </c>
      <c r="G273" s="91">
        <f t="shared" si="27"/>
        <v>0</v>
      </c>
      <c r="H273" s="91">
        <f t="shared" si="27"/>
        <v>0</v>
      </c>
      <c r="I273" s="91">
        <f t="shared" si="27"/>
        <v>0</v>
      </c>
    </row>
    <row r="274" spans="1:12" x14ac:dyDescent="0.2">
      <c r="A274" s="312"/>
      <c r="B274" s="313" t="s">
        <v>127</v>
      </c>
      <c r="C274" s="313"/>
      <c r="D274" s="314"/>
      <c r="E274" s="91">
        <f t="shared" si="27"/>
        <v>2</v>
      </c>
      <c r="F274" s="91">
        <f t="shared" si="27"/>
        <v>2</v>
      </c>
      <c r="G274" s="91">
        <f t="shared" si="27"/>
        <v>2</v>
      </c>
      <c r="H274" s="91">
        <f t="shared" si="27"/>
        <v>2</v>
      </c>
      <c r="I274" s="91">
        <f t="shared" si="27"/>
        <v>2</v>
      </c>
    </row>
    <row r="275" spans="1:12" x14ac:dyDescent="0.2">
      <c r="A275" s="90"/>
      <c r="B275" s="59"/>
      <c r="C275" s="59"/>
      <c r="D275" s="59"/>
      <c r="E275" s="20"/>
      <c r="F275" s="20"/>
      <c r="G275" s="20"/>
      <c r="H275" s="20"/>
      <c r="I275" s="20"/>
    </row>
    <row r="276" spans="1:12" x14ac:dyDescent="0.2">
      <c r="E276" s="67"/>
      <c r="F276" s="16"/>
      <c r="G276" s="16"/>
      <c r="H276" s="16"/>
      <c r="I276" s="16"/>
    </row>
    <row r="277" spans="1:12" x14ac:dyDescent="0.2">
      <c r="A277" s="2" t="s">
        <v>107</v>
      </c>
      <c r="E277" s="16"/>
      <c r="F277" s="16"/>
      <c r="G277" s="16"/>
      <c r="H277" s="16"/>
      <c r="I277" s="16"/>
    </row>
    <row r="278" spans="1:12" x14ac:dyDescent="0.2">
      <c r="A278" s="2"/>
      <c r="B278" s="322" t="s">
        <v>7</v>
      </c>
      <c r="C278" s="322"/>
      <c r="D278" s="322" t="s">
        <v>8</v>
      </c>
      <c r="E278" s="322"/>
      <c r="F278" s="319" t="s">
        <v>9</v>
      </c>
      <c r="G278" s="319"/>
      <c r="H278" s="319" t="s">
        <v>18</v>
      </c>
      <c r="I278" s="319"/>
      <c r="J278" s="319" t="s">
        <v>10</v>
      </c>
      <c r="K278" s="319"/>
    </row>
    <row r="279" spans="1:12" x14ac:dyDescent="0.2">
      <c r="A279" s="64" t="str">
        <f t="shared" ref="A279:A302" si="28">A238</f>
        <v>Jeffries - PI (AY)</v>
      </c>
      <c r="B279" s="4">
        <f>IF(L279="A",IF(H238&lt;$E$265,H238,$E$265),IF(L279="B",IF(H238&lt;$E$271,H238,$E$271),IF(L279="C",IF(H238&lt;$E$273,H238,$E$273),IF(L279="D",0))))</f>
        <v>0</v>
      </c>
      <c r="C279" s="60">
        <f>H238-B279</f>
        <v>1.7999999999999998</v>
      </c>
      <c r="D279" s="4">
        <f>IF(L279="A",IF(I238&lt;$F$265,I238,$F$265),IF(L279="B",IF(I238&lt;$F$271,I238,$F$271),IF(L279="C",IF(I238&lt;$F$273,I238,$F$273),IF(L279="D",0))))</f>
        <v>0</v>
      </c>
      <c r="E279" s="60">
        <f t="shared" ref="E279:E302" si="29">I238-D279</f>
        <v>1.7999999999999998</v>
      </c>
      <c r="F279" s="4">
        <f>IF(L279="A",IF(J238&lt;$G$265,J238,$G$265),IF(L279="B",IF(J238&lt;$G$271,J238,$G$271),IF(L279="C",IF(J238&lt;$G$273,J238,$G$273),IF(L279="D",0))))</f>
        <v>0</v>
      </c>
      <c r="G279" s="60">
        <f t="shared" ref="G279:G302" si="30">J238-F279</f>
        <v>1.7999999999999998</v>
      </c>
      <c r="H279" s="4">
        <f>IF(L279="A",IF(K238&lt;$H$265,K238,$H$265),IF(L279="B",IF(K238&lt;$H$271,K238,$H$271),IF(L279="C",IF(K238&lt;$H$273,K238,$H$273),IF(L279="D",0))))</f>
        <v>0</v>
      </c>
      <c r="I279" s="60">
        <f t="shared" ref="I279:I302" si="31">K238-H279</f>
        <v>0</v>
      </c>
      <c r="J279" s="4">
        <f>IF(L279="A",IF(L238&lt;$I$265,L238,$I$265),IF(L279="B",IF(L238&lt;$I$271,L238,$I$271),IF(L279="C",IF(L238&lt;$I$273,L238,$I$273),IF(L279="D",0))))</f>
        <v>0</v>
      </c>
      <c r="K279" s="60">
        <f t="shared" ref="K279:K302" si="32">L238-J279</f>
        <v>0</v>
      </c>
      <c r="L279" s="1" t="str">
        <f>IF(Request!E36=" Faculty Summer-A","A",IF(Request!E36=" Faculty Summer-B","B",IF(Request!E36=" Faculty Summer-C","C","D")))</f>
        <v>D</v>
      </c>
    </row>
    <row r="280" spans="1:12" x14ac:dyDescent="0.2">
      <c r="A280" s="65" t="str">
        <f t="shared" si="28"/>
        <v>Jeffries - PI (Summer)</v>
      </c>
      <c r="B280" s="4">
        <f t="shared" ref="B280:B302" si="33">IF(L280="A",IF(H239&lt;$E$265,H239,$E$265),IF(L280="B",IF(H239&lt;$E$271,H239,$E$271),IF(L280="C",IF(H239&lt;$E$273,H239,$E$273),IF(L280="D",0))))</f>
        <v>0.30000000000000004</v>
      </c>
      <c r="C280" s="60">
        <f t="shared" ref="C280:C302" si="34">H239-B280</f>
        <v>0</v>
      </c>
      <c r="D280" s="4">
        <f t="shared" ref="D280:D302" si="35">IF(L280="A",IF(I239&lt;$F$265,I239,$F$265),IF(L280="B",IF(I239&lt;$F$271,I239,$F$271),IF(L280="C",IF(I239&lt;$F$273,I239,$F$273),IF(L280="D",0))))</f>
        <v>0.30000000000000004</v>
      </c>
      <c r="E280" s="60">
        <f t="shared" si="29"/>
        <v>0</v>
      </c>
      <c r="F280" s="4">
        <f t="shared" ref="F280:F302" si="36">IF(L280="A",IF(J239&lt;$G$265,J239,$G$265),IF(L280="B",IF(J239&lt;$G$271,J239,$G$271),IF(L280="C",IF(J239&lt;$G$273,J239,$G$273),IF(L280="D",0))))</f>
        <v>0.30000000000000004</v>
      </c>
      <c r="G280" s="60">
        <f t="shared" si="30"/>
        <v>0</v>
      </c>
      <c r="H280" s="4">
        <f t="shared" ref="H280:H302" si="37">IF(L280="A",IF(K239&lt;$H$265,K239,$H$265),IF(L280="B",IF(K239&lt;$H$271,K239,$H$271),IF(L280="C",IF(K239&lt;$H$273,K239,$H$273),IF(L280="D",0))))</f>
        <v>0</v>
      </c>
      <c r="I280" s="60">
        <f t="shared" si="31"/>
        <v>0</v>
      </c>
      <c r="J280" s="4">
        <f t="shared" ref="J280:J302" si="38">IF(L280="A",IF(L239&lt;$I$265,L239,$I$265),IF(L280="B",IF(L239&lt;$I$271,L239,$I$271),IF(L280="C",IF(L239&lt;$I$273,L239,$I$273),IF(L280="D",0))))</f>
        <v>0</v>
      </c>
      <c r="K280" s="60">
        <f t="shared" si="32"/>
        <v>0</v>
      </c>
      <c r="L280" s="1" t="str">
        <f>IF(Request!E37=" Faculty Summer-A","A",IF(Request!E37=" Faculty Summer-B","B",IF(Request!E37=" Faculty Summer-C","C","D")))</f>
        <v>A</v>
      </c>
    </row>
    <row r="281" spans="1:12" x14ac:dyDescent="0.2">
      <c r="A281" s="65">
        <f t="shared" si="28"/>
        <v>0</v>
      </c>
      <c r="B281" s="4">
        <f t="shared" si="33"/>
        <v>0</v>
      </c>
      <c r="C281" s="60">
        <f t="shared" si="34"/>
        <v>0</v>
      </c>
      <c r="D281" s="4">
        <f t="shared" si="35"/>
        <v>0</v>
      </c>
      <c r="E281" s="60">
        <f t="shared" si="29"/>
        <v>0</v>
      </c>
      <c r="F281" s="4">
        <f t="shared" si="36"/>
        <v>0</v>
      </c>
      <c r="G281" s="60">
        <f t="shared" si="30"/>
        <v>0</v>
      </c>
      <c r="H281" s="4">
        <f t="shared" si="37"/>
        <v>0</v>
      </c>
      <c r="I281" s="60">
        <f t="shared" si="31"/>
        <v>0</v>
      </c>
      <c r="J281" s="4">
        <f t="shared" si="38"/>
        <v>0</v>
      </c>
      <c r="K281" s="60">
        <f t="shared" si="32"/>
        <v>0</v>
      </c>
      <c r="L281" s="1" t="str">
        <f>IF(Request!E38=" Faculty Summer-A","A",IF(Request!E38=" Faculty Summer-B","B",IF(Request!E38=" Faculty Summer-C","C","D")))</f>
        <v>D</v>
      </c>
    </row>
    <row r="282" spans="1:12" x14ac:dyDescent="0.2">
      <c r="A282" s="65">
        <f t="shared" si="28"/>
        <v>0</v>
      </c>
      <c r="B282" s="4">
        <f t="shared" si="33"/>
        <v>0</v>
      </c>
      <c r="C282" s="60">
        <f t="shared" si="34"/>
        <v>0</v>
      </c>
      <c r="D282" s="4">
        <f t="shared" si="35"/>
        <v>0</v>
      </c>
      <c r="E282" s="60">
        <f t="shared" si="29"/>
        <v>0</v>
      </c>
      <c r="F282" s="4">
        <f t="shared" si="36"/>
        <v>0</v>
      </c>
      <c r="G282" s="60">
        <f t="shared" si="30"/>
        <v>0</v>
      </c>
      <c r="H282" s="4">
        <f t="shared" si="37"/>
        <v>0</v>
      </c>
      <c r="I282" s="60">
        <f t="shared" si="31"/>
        <v>0</v>
      </c>
      <c r="J282" s="4">
        <f t="shared" si="38"/>
        <v>0</v>
      </c>
      <c r="K282" s="60">
        <f t="shared" si="32"/>
        <v>0</v>
      </c>
      <c r="L282" s="1" t="str">
        <f>IF(Request!E39=" Faculty Summer-A","A",IF(Request!E39=" Faculty Summer-B","B",IF(Request!E39=" Faculty Summer-C","C","D")))</f>
        <v>D</v>
      </c>
    </row>
    <row r="283" spans="1:12" x14ac:dyDescent="0.2">
      <c r="A283" s="65">
        <f t="shared" si="28"/>
        <v>0</v>
      </c>
      <c r="B283" s="4">
        <f t="shared" si="33"/>
        <v>0</v>
      </c>
      <c r="C283" s="60">
        <f t="shared" si="34"/>
        <v>0</v>
      </c>
      <c r="D283" s="4">
        <f t="shared" si="35"/>
        <v>0</v>
      </c>
      <c r="E283" s="60">
        <f t="shared" si="29"/>
        <v>0</v>
      </c>
      <c r="F283" s="4">
        <f t="shared" si="36"/>
        <v>0</v>
      </c>
      <c r="G283" s="60">
        <f t="shared" si="30"/>
        <v>0</v>
      </c>
      <c r="H283" s="4">
        <f t="shared" si="37"/>
        <v>0</v>
      </c>
      <c r="I283" s="60">
        <f t="shared" si="31"/>
        <v>0</v>
      </c>
      <c r="J283" s="4">
        <f t="shared" si="38"/>
        <v>0</v>
      </c>
      <c r="K283" s="60">
        <f t="shared" si="32"/>
        <v>0</v>
      </c>
      <c r="L283" s="1" t="str">
        <f>IF(Request!E40=" Faculty Summer-A","A",IF(Request!E40=" Faculty Summer-B","B",IF(Request!E40=" Faculty Summer-C","C","D")))</f>
        <v>D</v>
      </c>
    </row>
    <row r="284" spans="1:12" x14ac:dyDescent="0.2">
      <c r="A284" s="65">
        <f t="shared" si="28"/>
        <v>0</v>
      </c>
      <c r="B284" s="4">
        <f t="shared" si="33"/>
        <v>0</v>
      </c>
      <c r="C284" s="60">
        <f t="shared" si="34"/>
        <v>0</v>
      </c>
      <c r="D284" s="4">
        <f t="shared" si="35"/>
        <v>0</v>
      </c>
      <c r="E284" s="60">
        <f t="shared" si="29"/>
        <v>0</v>
      </c>
      <c r="F284" s="4">
        <f t="shared" si="36"/>
        <v>0</v>
      </c>
      <c r="G284" s="60">
        <f t="shared" si="30"/>
        <v>0</v>
      </c>
      <c r="H284" s="4">
        <f t="shared" si="37"/>
        <v>0</v>
      </c>
      <c r="I284" s="60">
        <f t="shared" si="31"/>
        <v>0</v>
      </c>
      <c r="J284" s="4">
        <f>IF(L284="A",IF(L243&lt;$I$265,L243,$I$265),IF(L284="B",IF(L243&lt;$I$271,L243,$I$271),IF(L284="C",IF(L243&lt;$I$273,L243,$I$273),IF(L284="D",0))))</f>
        <v>0</v>
      </c>
      <c r="K284" s="60">
        <f t="shared" si="32"/>
        <v>0</v>
      </c>
      <c r="L284" s="1" t="str">
        <f>IF(Request!E41=" Faculty Summer-A","A",IF(Request!E41=" Faculty Summer-B","B",IF(Request!E41=" Faculty Summer-C","C","D")))</f>
        <v>D</v>
      </c>
    </row>
    <row r="285" spans="1:12" x14ac:dyDescent="0.2">
      <c r="A285" s="65">
        <f t="shared" si="28"/>
        <v>0</v>
      </c>
      <c r="B285" s="4">
        <f t="shared" si="33"/>
        <v>0</v>
      </c>
      <c r="C285" s="60">
        <f t="shared" si="34"/>
        <v>0</v>
      </c>
      <c r="D285" s="4">
        <f t="shared" si="35"/>
        <v>0</v>
      </c>
      <c r="E285" s="60">
        <f t="shared" si="29"/>
        <v>0</v>
      </c>
      <c r="F285" s="4">
        <f t="shared" si="36"/>
        <v>0</v>
      </c>
      <c r="G285" s="60">
        <f t="shared" si="30"/>
        <v>0</v>
      </c>
      <c r="H285" s="4">
        <f t="shared" si="37"/>
        <v>0</v>
      </c>
      <c r="I285" s="60">
        <f t="shared" si="31"/>
        <v>0</v>
      </c>
      <c r="J285" s="4">
        <f t="shared" si="38"/>
        <v>0</v>
      </c>
      <c r="K285" s="60">
        <f t="shared" si="32"/>
        <v>0</v>
      </c>
      <c r="L285" s="1" t="str">
        <f>IF(Request!E42=" Faculty Summer-A","A",IF(Request!E42=" Faculty Summer-B","B",IF(Request!E42=" Faculty Summer-C","C","D")))</f>
        <v>D</v>
      </c>
    </row>
    <row r="286" spans="1:12" x14ac:dyDescent="0.2">
      <c r="A286" s="65">
        <f t="shared" si="28"/>
        <v>0</v>
      </c>
      <c r="B286" s="4">
        <f t="shared" si="33"/>
        <v>0</v>
      </c>
      <c r="C286" s="60">
        <f t="shared" si="34"/>
        <v>0</v>
      </c>
      <c r="D286" s="4">
        <f t="shared" si="35"/>
        <v>0</v>
      </c>
      <c r="E286" s="60">
        <f t="shared" si="29"/>
        <v>0</v>
      </c>
      <c r="F286" s="4">
        <f t="shared" si="36"/>
        <v>0</v>
      </c>
      <c r="G286" s="60">
        <f t="shared" si="30"/>
        <v>0</v>
      </c>
      <c r="H286" s="4">
        <f t="shared" si="37"/>
        <v>0</v>
      </c>
      <c r="I286" s="60">
        <f t="shared" si="31"/>
        <v>0</v>
      </c>
      <c r="J286" s="4">
        <f t="shared" si="38"/>
        <v>0</v>
      </c>
      <c r="K286" s="60">
        <f t="shared" si="32"/>
        <v>0</v>
      </c>
      <c r="L286" s="1" t="str">
        <f>IF(Request!E43=" Faculty Summer-A","A",IF(Request!E43=" Faculty Summer-B","B",IF(Request!E43=" Faculty Summer-C","C","D")))</f>
        <v>D</v>
      </c>
    </row>
    <row r="287" spans="1:12" x14ac:dyDescent="0.2">
      <c r="A287" s="65">
        <f t="shared" si="28"/>
        <v>0</v>
      </c>
      <c r="B287" s="4">
        <f t="shared" si="33"/>
        <v>0</v>
      </c>
      <c r="C287" s="60">
        <f t="shared" si="34"/>
        <v>0</v>
      </c>
      <c r="D287" s="4">
        <f t="shared" si="35"/>
        <v>0</v>
      </c>
      <c r="E287" s="60">
        <f t="shared" si="29"/>
        <v>0</v>
      </c>
      <c r="F287" s="4">
        <f t="shared" si="36"/>
        <v>0</v>
      </c>
      <c r="G287" s="60">
        <f t="shared" si="30"/>
        <v>0</v>
      </c>
      <c r="H287" s="4">
        <f t="shared" si="37"/>
        <v>0</v>
      </c>
      <c r="I287" s="60">
        <f t="shared" si="31"/>
        <v>0</v>
      </c>
      <c r="J287" s="4">
        <f t="shared" si="38"/>
        <v>0</v>
      </c>
      <c r="K287" s="60">
        <f t="shared" si="32"/>
        <v>0</v>
      </c>
      <c r="L287" s="1" t="str">
        <f>IF(Request!E44=" Faculty Summer-A","A",IF(Request!E44=" Faculty Summer-B","B",IF(Request!E44=" Faculty Summer-C","C","D")))</f>
        <v>D</v>
      </c>
    </row>
    <row r="288" spans="1:12" x14ac:dyDescent="0.2">
      <c r="A288" s="65">
        <f t="shared" si="28"/>
        <v>0</v>
      </c>
      <c r="B288" s="4">
        <f t="shared" si="33"/>
        <v>0</v>
      </c>
      <c r="C288" s="60">
        <f t="shared" si="34"/>
        <v>0</v>
      </c>
      <c r="D288" s="4">
        <f t="shared" si="35"/>
        <v>0</v>
      </c>
      <c r="E288" s="60">
        <f t="shared" si="29"/>
        <v>0</v>
      </c>
      <c r="F288" s="4">
        <f t="shared" si="36"/>
        <v>0</v>
      </c>
      <c r="G288" s="60">
        <f t="shared" si="30"/>
        <v>0</v>
      </c>
      <c r="H288" s="4">
        <f t="shared" si="37"/>
        <v>0</v>
      </c>
      <c r="I288" s="60">
        <f t="shared" si="31"/>
        <v>0</v>
      </c>
      <c r="J288" s="4">
        <f t="shared" si="38"/>
        <v>0</v>
      </c>
      <c r="K288" s="60">
        <f t="shared" si="32"/>
        <v>0</v>
      </c>
      <c r="L288" s="1" t="str">
        <f>IF(Request!E45=" Faculty Summer-A","A",IF(Request!E45=" Faculty Summer-B","B",IF(Request!E45=" Faculty Summer-C","C","D")))</f>
        <v>D</v>
      </c>
    </row>
    <row r="289" spans="1:12" x14ac:dyDescent="0.2">
      <c r="A289" s="65">
        <f t="shared" si="28"/>
        <v>0</v>
      </c>
      <c r="B289" s="4">
        <f t="shared" si="33"/>
        <v>0</v>
      </c>
      <c r="C289" s="60">
        <f t="shared" si="34"/>
        <v>0</v>
      </c>
      <c r="D289" s="4">
        <f t="shared" si="35"/>
        <v>0</v>
      </c>
      <c r="E289" s="60">
        <f t="shared" si="29"/>
        <v>0</v>
      </c>
      <c r="F289" s="4">
        <f t="shared" si="36"/>
        <v>0</v>
      </c>
      <c r="G289" s="60">
        <f t="shared" si="30"/>
        <v>0</v>
      </c>
      <c r="H289" s="4">
        <f t="shared" si="37"/>
        <v>0</v>
      </c>
      <c r="I289" s="60">
        <f t="shared" si="31"/>
        <v>0</v>
      </c>
      <c r="J289" s="4">
        <f t="shared" si="38"/>
        <v>0</v>
      </c>
      <c r="K289" s="60">
        <f t="shared" si="32"/>
        <v>0</v>
      </c>
      <c r="L289" s="1" t="str">
        <f>IF(Request!E46=" Faculty Summer-A","A",IF(Request!E46=" Faculty Summer-B","B",IF(Request!E46=" Faculty Summer-C","C","D")))</f>
        <v>D</v>
      </c>
    </row>
    <row r="290" spans="1:12" x14ac:dyDescent="0.2">
      <c r="A290" s="65">
        <f t="shared" si="28"/>
        <v>0</v>
      </c>
      <c r="B290" s="4">
        <f t="shared" si="33"/>
        <v>0</v>
      </c>
      <c r="C290" s="60">
        <f t="shared" si="34"/>
        <v>0</v>
      </c>
      <c r="D290" s="4">
        <f t="shared" si="35"/>
        <v>0</v>
      </c>
      <c r="E290" s="60">
        <f t="shared" si="29"/>
        <v>0</v>
      </c>
      <c r="F290" s="4">
        <f t="shared" si="36"/>
        <v>0</v>
      </c>
      <c r="G290" s="60">
        <f t="shared" si="30"/>
        <v>0</v>
      </c>
      <c r="H290" s="4">
        <f t="shared" si="37"/>
        <v>0</v>
      </c>
      <c r="I290" s="60">
        <f t="shared" si="31"/>
        <v>0</v>
      </c>
      <c r="J290" s="4">
        <f t="shared" si="38"/>
        <v>0</v>
      </c>
      <c r="K290" s="60">
        <f t="shared" si="32"/>
        <v>0</v>
      </c>
      <c r="L290" s="1" t="str">
        <f>IF(Request!E47=" Faculty Summer-A","A",IF(Request!E47=" Faculty Summer-B","B",IF(Request!E47=" Faculty Summer-C","C","D")))</f>
        <v>D</v>
      </c>
    </row>
    <row r="291" spans="1:12" x14ac:dyDescent="0.2">
      <c r="A291" s="65">
        <f t="shared" si="28"/>
        <v>0</v>
      </c>
      <c r="B291" s="4">
        <f t="shared" si="33"/>
        <v>0</v>
      </c>
      <c r="C291" s="60">
        <f t="shared" si="34"/>
        <v>0</v>
      </c>
      <c r="D291" s="4">
        <f t="shared" si="35"/>
        <v>0</v>
      </c>
      <c r="E291" s="60">
        <f t="shared" si="29"/>
        <v>0</v>
      </c>
      <c r="F291" s="4">
        <f t="shared" si="36"/>
        <v>0</v>
      </c>
      <c r="G291" s="60">
        <f t="shared" si="30"/>
        <v>0</v>
      </c>
      <c r="H291" s="4">
        <f t="shared" si="37"/>
        <v>0</v>
      </c>
      <c r="I291" s="60">
        <f t="shared" si="31"/>
        <v>0</v>
      </c>
      <c r="J291" s="4">
        <f t="shared" si="38"/>
        <v>0</v>
      </c>
      <c r="K291" s="60">
        <f t="shared" si="32"/>
        <v>0</v>
      </c>
      <c r="L291" s="1" t="str">
        <f>IF(Request!E48=" Faculty Summer-A","A",IF(Request!E48=" Faculty Summer-B","B",IF(Request!E48=" Faculty Summer-C","C","D")))</f>
        <v>D</v>
      </c>
    </row>
    <row r="292" spans="1:12" x14ac:dyDescent="0.2">
      <c r="A292" s="65">
        <f t="shared" si="28"/>
        <v>0</v>
      </c>
      <c r="B292" s="4">
        <f t="shared" si="33"/>
        <v>0</v>
      </c>
      <c r="C292" s="60">
        <f t="shared" si="34"/>
        <v>0</v>
      </c>
      <c r="D292" s="4">
        <f t="shared" si="35"/>
        <v>0</v>
      </c>
      <c r="E292" s="60">
        <f t="shared" si="29"/>
        <v>0</v>
      </c>
      <c r="F292" s="4">
        <f t="shared" si="36"/>
        <v>0</v>
      </c>
      <c r="G292" s="60">
        <f t="shared" si="30"/>
        <v>0</v>
      </c>
      <c r="H292" s="4">
        <f t="shared" si="37"/>
        <v>0</v>
      </c>
      <c r="I292" s="60">
        <f t="shared" si="31"/>
        <v>0</v>
      </c>
      <c r="J292" s="4">
        <f t="shared" si="38"/>
        <v>0</v>
      </c>
      <c r="K292" s="60">
        <f t="shared" si="32"/>
        <v>0</v>
      </c>
      <c r="L292" s="1" t="str">
        <f>IF(Request!E49=" Faculty Summer-A","A",IF(Request!E49=" Faculty Summer-B","B",IF(Request!E49=" Faculty Summer-C","C","D")))</f>
        <v>D</v>
      </c>
    </row>
    <row r="293" spans="1:12" x14ac:dyDescent="0.2">
      <c r="A293" s="65">
        <f t="shared" si="28"/>
        <v>0</v>
      </c>
      <c r="B293" s="4">
        <f t="shared" si="33"/>
        <v>0</v>
      </c>
      <c r="C293" s="60">
        <f t="shared" si="34"/>
        <v>0</v>
      </c>
      <c r="D293" s="4">
        <f t="shared" si="35"/>
        <v>0</v>
      </c>
      <c r="E293" s="60">
        <f t="shared" si="29"/>
        <v>0</v>
      </c>
      <c r="F293" s="4">
        <f t="shared" si="36"/>
        <v>0</v>
      </c>
      <c r="G293" s="60">
        <f t="shared" si="30"/>
        <v>0</v>
      </c>
      <c r="H293" s="4">
        <f t="shared" si="37"/>
        <v>0</v>
      </c>
      <c r="I293" s="60">
        <f t="shared" si="31"/>
        <v>0</v>
      </c>
      <c r="J293" s="4">
        <f t="shared" si="38"/>
        <v>0</v>
      </c>
      <c r="K293" s="60">
        <f t="shared" si="32"/>
        <v>0</v>
      </c>
      <c r="L293" s="1" t="str">
        <f>IF(Request!E50=" Faculty Summer-A","A",IF(Request!E50=" Faculty Summer-B","B",IF(Request!E50=" Faculty Summer-C","C","D")))</f>
        <v>D</v>
      </c>
    </row>
    <row r="294" spans="1:12" x14ac:dyDescent="0.2">
      <c r="A294" s="65">
        <f t="shared" si="28"/>
        <v>0</v>
      </c>
      <c r="B294" s="4">
        <f t="shared" si="33"/>
        <v>0</v>
      </c>
      <c r="C294" s="60">
        <f t="shared" si="34"/>
        <v>0</v>
      </c>
      <c r="D294" s="4">
        <f t="shared" si="35"/>
        <v>0</v>
      </c>
      <c r="E294" s="60">
        <f t="shared" si="29"/>
        <v>0</v>
      </c>
      <c r="F294" s="4">
        <f t="shared" si="36"/>
        <v>0</v>
      </c>
      <c r="G294" s="60">
        <f t="shared" si="30"/>
        <v>0</v>
      </c>
      <c r="H294" s="4">
        <f t="shared" si="37"/>
        <v>0</v>
      </c>
      <c r="I294" s="60">
        <f t="shared" si="31"/>
        <v>0</v>
      </c>
      <c r="J294" s="4">
        <f t="shared" si="38"/>
        <v>0</v>
      </c>
      <c r="K294" s="60">
        <f t="shared" si="32"/>
        <v>0</v>
      </c>
      <c r="L294" s="1" t="str">
        <f>IF(Request!E51=" Faculty Summer-A","A",IF(Request!E51=" Faculty Summer-B","B",IF(Request!E51=" Faculty Summer-C","C","D")))</f>
        <v>D</v>
      </c>
    </row>
    <row r="295" spans="1:12" x14ac:dyDescent="0.2">
      <c r="A295" s="65">
        <f t="shared" si="28"/>
        <v>0</v>
      </c>
      <c r="B295" s="4">
        <f t="shared" si="33"/>
        <v>0</v>
      </c>
      <c r="C295" s="60">
        <f t="shared" si="34"/>
        <v>0</v>
      </c>
      <c r="D295" s="4">
        <f t="shared" si="35"/>
        <v>0</v>
      </c>
      <c r="E295" s="60">
        <f t="shared" si="29"/>
        <v>0</v>
      </c>
      <c r="F295" s="4">
        <f t="shared" si="36"/>
        <v>0</v>
      </c>
      <c r="G295" s="60">
        <f t="shared" si="30"/>
        <v>0</v>
      </c>
      <c r="H295" s="4">
        <f t="shared" si="37"/>
        <v>0</v>
      </c>
      <c r="I295" s="60">
        <f t="shared" si="31"/>
        <v>0</v>
      </c>
      <c r="J295" s="4">
        <f t="shared" si="38"/>
        <v>0</v>
      </c>
      <c r="K295" s="60">
        <f t="shared" si="32"/>
        <v>0</v>
      </c>
      <c r="L295" s="1" t="str">
        <f>IF(Request!E52=" Faculty Summer-A","A",IF(Request!E52=" Faculty Summer-B","B",IF(Request!E52=" Faculty Summer-C","C","D")))</f>
        <v>D</v>
      </c>
    </row>
    <row r="296" spans="1:12" x14ac:dyDescent="0.2">
      <c r="A296" s="65">
        <f t="shared" si="28"/>
        <v>0</v>
      </c>
      <c r="B296" s="4">
        <f t="shared" si="33"/>
        <v>0</v>
      </c>
      <c r="C296" s="60">
        <f t="shared" si="34"/>
        <v>0</v>
      </c>
      <c r="D296" s="4">
        <f t="shared" si="35"/>
        <v>0</v>
      </c>
      <c r="E296" s="60">
        <f t="shared" si="29"/>
        <v>0</v>
      </c>
      <c r="F296" s="4">
        <f t="shared" si="36"/>
        <v>0</v>
      </c>
      <c r="G296" s="60">
        <f t="shared" si="30"/>
        <v>0</v>
      </c>
      <c r="H296" s="4">
        <f t="shared" si="37"/>
        <v>0</v>
      </c>
      <c r="I296" s="60">
        <f t="shared" si="31"/>
        <v>0</v>
      </c>
      <c r="J296" s="4">
        <f t="shared" si="38"/>
        <v>0</v>
      </c>
      <c r="K296" s="60">
        <f t="shared" si="32"/>
        <v>0</v>
      </c>
      <c r="L296" s="1" t="str">
        <f>IF(Request!E53=" Faculty Summer-A","A",IF(Request!E53=" Faculty Summer-B","B",IF(Request!E53=" Faculty Summer-C","C","D")))</f>
        <v>D</v>
      </c>
    </row>
    <row r="297" spans="1:12" x14ac:dyDescent="0.2">
      <c r="A297" s="65">
        <f t="shared" si="28"/>
        <v>0</v>
      </c>
      <c r="B297" s="4">
        <f t="shared" si="33"/>
        <v>0</v>
      </c>
      <c r="C297" s="60">
        <f t="shared" si="34"/>
        <v>0</v>
      </c>
      <c r="D297" s="4">
        <f t="shared" si="35"/>
        <v>0</v>
      </c>
      <c r="E297" s="60">
        <f t="shared" si="29"/>
        <v>0</v>
      </c>
      <c r="F297" s="4">
        <f t="shared" si="36"/>
        <v>0</v>
      </c>
      <c r="G297" s="60">
        <f t="shared" si="30"/>
        <v>0</v>
      </c>
      <c r="H297" s="4">
        <f t="shared" si="37"/>
        <v>0</v>
      </c>
      <c r="I297" s="60">
        <f t="shared" si="31"/>
        <v>0</v>
      </c>
      <c r="J297" s="4">
        <f t="shared" si="38"/>
        <v>0</v>
      </c>
      <c r="K297" s="60">
        <f t="shared" si="32"/>
        <v>0</v>
      </c>
      <c r="L297" s="1" t="str">
        <f>IF(Request!E54=" Faculty Summer-A","A",IF(Request!E54=" Faculty Summer-B","B",IF(Request!E54=" Faculty Summer-C","C","D")))</f>
        <v>D</v>
      </c>
    </row>
    <row r="298" spans="1:12" x14ac:dyDescent="0.2">
      <c r="A298" s="65">
        <f t="shared" si="28"/>
        <v>0</v>
      </c>
      <c r="B298" s="4">
        <f t="shared" si="33"/>
        <v>0</v>
      </c>
      <c r="C298" s="60">
        <f t="shared" si="34"/>
        <v>0</v>
      </c>
      <c r="D298" s="4">
        <f t="shared" si="35"/>
        <v>0</v>
      </c>
      <c r="E298" s="60">
        <f t="shared" si="29"/>
        <v>0</v>
      </c>
      <c r="F298" s="4">
        <f t="shared" si="36"/>
        <v>0</v>
      </c>
      <c r="G298" s="60">
        <f t="shared" si="30"/>
        <v>0</v>
      </c>
      <c r="H298" s="4">
        <f t="shared" si="37"/>
        <v>0</v>
      </c>
      <c r="I298" s="60">
        <f t="shared" si="31"/>
        <v>0</v>
      </c>
      <c r="J298" s="4">
        <f t="shared" si="38"/>
        <v>0</v>
      </c>
      <c r="K298" s="60">
        <f t="shared" si="32"/>
        <v>0</v>
      </c>
      <c r="L298" s="1" t="str">
        <f>IF(Request!E55=" Faculty Summer-A","A",IF(Request!E55=" Faculty Summer-B","B",IF(Request!E55=" Faculty Summer-C","C","D")))</f>
        <v>D</v>
      </c>
    </row>
    <row r="299" spans="1:12" x14ac:dyDescent="0.2">
      <c r="A299" s="65">
        <f t="shared" si="28"/>
        <v>0</v>
      </c>
      <c r="B299" s="4">
        <f t="shared" si="33"/>
        <v>0</v>
      </c>
      <c r="C299" s="60">
        <f t="shared" si="34"/>
        <v>0</v>
      </c>
      <c r="D299" s="4">
        <f t="shared" si="35"/>
        <v>0</v>
      </c>
      <c r="E299" s="60">
        <f t="shared" si="29"/>
        <v>0</v>
      </c>
      <c r="F299" s="4">
        <f t="shared" si="36"/>
        <v>0</v>
      </c>
      <c r="G299" s="60">
        <f t="shared" si="30"/>
        <v>0</v>
      </c>
      <c r="H299" s="4">
        <f t="shared" si="37"/>
        <v>0</v>
      </c>
      <c r="I299" s="60">
        <f t="shared" si="31"/>
        <v>0</v>
      </c>
      <c r="J299" s="4">
        <f t="shared" si="38"/>
        <v>0</v>
      </c>
      <c r="K299" s="60">
        <f t="shared" si="32"/>
        <v>0</v>
      </c>
      <c r="L299" s="1" t="str">
        <f>IF(Request!E56=" Faculty Summer-A","A",IF(Request!E56=" Faculty Summer-B","B",IF(Request!E56=" Faculty Summer-C","C","D")))</f>
        <v>D</v>
      </c>
    </row>
    <row r="300" spans="1:12" x14ac:dyDescent="0.2">
      <c r="A300" s="65">
        <f t="shared" si="28"/>
        <v>0</v>
      </c>
      <c r="B300" s="4">
        <f t="shared" si="33"/>
        <v>0</v>
      </c>
      <c r="C300" s="60">
        <f t="shared" si="34"/>
        <v>0</v>
      </c>
      <c r="D300" s="4">
        <f t="shared" si="35"/>
        <v>0</v>
      </c>
      <c r="E300" s="60">
        <f t="shared" si="29"/>
        <v>0</v>
      </c>
      <c r="F300" s="4">
        <f t="shared" si="36"/>
        <v>0</v>
      </c>
      <c r="G300" s="60">
        <f t="shared" si="30"/>
        <v>0</v>
      </c>
      <c r="H300" s="4">
        <f t="shared" si="37"/>
        <v>0</v>
      </c>
      <c r="I300" s="60">
        <f t="shared" si="31"/>
        <v>0</v>
      </c>
      <c r="J300" s="4">
        <f t="shared" si="38"/>
        <v>0</v>
      </c>
      <c r="K300" s="60">
        <f t="shared" si="32"/>
        <v>0</v>
      </c>
      <c r="L300" s="1" t="str">
        <f>IF(Request!E57=" Faculty Summer-A","A",IF(Request!E57=" Faculty Summer-B","B",IF(Request!E57=" Faculty Summer-C","C","D")))</f>
        <v>D</v>
      </c>
    </row>
    <row r="301" spans="1:12" x14ac:dyDescent="0.2">
      <c r="A301" s="65">
        <f t="shared" si="28"/>
        <v>0</v>
      </c>
      <c r="B301" s="4">
        <f t="shared" si="33"/>
        <v>0</v>
      </c>
      <c r="C301" s="60">
        <f t="shared" si="34"/>
        <v>0</v>
      </c>
      <c r="D301" s="4">
        <f t="shared" si="35"/>
        <v>0</v>
      </c>
      <c r="E301" s="60">
        <f t="shared" si="29"/>
        <v>0</v>
      </c>
      <c r="F301" s="4">
        <f t="shared" si="36"/>
        <v>0</v>
      </c>
      <c r="G301" s="60">
        <f t="shared" si="30"/>
        <v>0</v>
      </c>
      <c r="H301" s="4">
        <f t="shared" si="37"/>
        <v>0</v>
      </c>
      <c r="I301" s="60">
        <f t="shared" si="31"/>
        <v>0</v>
      </c>
      <c r="J301" s="4">
        <f t="shared" si="38"/>
        <v>0</v>
      </c>
      <c r="K301" s="60">
        <f t="shared" si="32"/>
        <v>0</v>
      </c>
      <c r="L301" s="1" t="str">
        <f>IF(Request!E58=" Faculty Summer-A","A",IF(Request!E58=" Faculty Summer-B","B",IF(Request!E58=" Faculty Summer-C","C","D")))</f>
        <v>D</v>
      </c>
    </row>
    <row r="302" spans="1:12" x14ac:dyDescent="0.2">
      <c r="A302" s="66">
        <f t="shared" si="28"/>
        <v>0</v>
      </c>
      <c r="B302" s="4">
        <f t="shared" si="33"/>
        <v>0</v>
      </c>
      <c r="C302" s="60">
        <f t="shared" si="34"/>
        <v>0</v>
      </c>
      <c r="D302" s="4">
        <f t="shared" si="35"/>
        <v>0</v>
      </c>
      <c r="E302" s="60">
        <f t="shared" si="29"/>
        <v>0</v>
      </c>
      <c r="F302" s="4">
        <f t="shared" si="36"/>
        <v>0</v>
      </c>
      <c r="G302" s="60">
        <f t="shared" si="30"/>
        <v>0</v>
      </c>
      <c r="H302" s="4">
        <f t="shared" si="37"/>
        <v>0</v>
      </c>
      <c r="I302" s="60">
        <f t="shared" si="31"/>
        <v>0</v>
      </c>
      <c r="J302" s="4">
        <f t="shared" si="38"/>
        <v>0</v>
      </c>
      <c r="K302" s="60">
        <f t="shared" si="32"/>
        <v>0</v>
      </c>
      <c r="L302" s="1" t="str">
        <f>IF(Request!E59=" Faculty Summer-A","A",IF(Request!E59=" Faculty Summer-B","B",IF(Request!E59=" Faculty Summer-C","C","D")))</f>
        <v>D</v>
      </c>
    </row>
    <row r="306" spans="1:11" x14ac:dyDescent="0.2">
      <c r="E306" s="67"/>
      <c r="F306" s="16"/>
      <c r="G306" s="16"/>
      <c r="H306" s="16"/>
      <c r="I306" s="16"/>
    </row>
    <row r="307" spans="1:11" x14ac:dyDescent="0.2">
      <c r="A307" s="69" t="s">
        <v>108</v>
      </c>
      <c r="B307" s="310" t="s">
        <v>7</v>
      </c>
      <c r="C307" s="310"/>
      <c r="D307" s="310" t="s">
        <v>8</v>
      </c>
      <c r="E307" s="310"/>
      <c r="F307" s="310" t="s">
        <v>9</v>
      </c>
      <c r="G307" s="310"/>
      <c r="H307" s="310" t="s">
        <v>18</v>
      </c>
      <c r="I307" s="310"/>
      <c r="J307" s="310" t="s">
        <v>10</v>
      </c>
      <c r="K307" s="310"/>
    </row>
    <row r="308" spans="1:11" x14ac:dyDescent="0.2">
      <c r="A308" s="69"/>
      <c r="B308" s="72">
        <f t="shared" ref="B308:K308" si="39">B65</f>
        <v>0.10299999999999999</v>
      </c>
      <c r="C308" s="72">
        <f t="shared" si="39"/>
        <v>0.106</v>
      </c>
      <c r="D308" s="72">
        <f t="shared" si="39"/>
        <v>0.106</v>
      </c>
      <c r="E308" s="72">
        <f t="shared" si="39"/>
        <v>0.109</v>
      </c>
      <c r="F308" s="72">
        <f t="shared" si="39"/>
        <v>0.109</v>
      </c>
      <c r="G308" s="72">
        <f t="shared" si="39"/>
        <v>0.112</v>
      </c>
      <c r="H308" s="72">
        <f t="shared" si="39"/>
        <v>0.112</v>
      </c>
      <c r="I308" s="72">
        <f t="shared" si="39"/>
        <v>0.115</v>
      </c>
      <c r="J308" s="72">
        <f t="shared" si="39"/>
        <v>0.115</v>
      </c>
      <c r="K308" s="72">
        <f t="shared" si="39"/>
        <v>0.11799999999999999</v>
      </c>
    </row>
    <row r="309" spans="1:11" x14ac:dyDescent="0.2">
      <c r="A309" s="64" t="str">
        <f>A279</f>
        <v>Jeffries - PI (AY)</v>
      </c>
      <c r="B309" s="4">
        <f>B279</f>
        <v>0</v>
      </c>
      <c r="C309" s="89">
        <f>C279</f>
        <v>1.7999999999999998</v>
      </c>
      <c r="D309" s="4">
        <f t="shared" ref="D309:K309" si="40">D279</f>
        <v>0</v>
      </c>
      <c r="E309" s="4">
        <f t="shared" si="40"/>
        <v>1.7999999999999998</v>
      </c>
      <c r="F309" s="4">
        <f t="shared" si="40"/>
        <v>0</v>
      </c>
      <c r="G309" s="4">
        <f t="shared" si="40"/>
        <v>1.7999999999999998</v>
      </c>
      <c r="H309" s="4">
        <f t="shared" si="40"/>
        <v>0</v>
      </c>
      <c r="I309" s="4">
        <f t="shared" si="40"/>
        <v>0</v>
      </c>
      <c r="J309" s="4">
        <f t="shared" si="40"/>
        <v>0</v>
      </c>
      <c r="K309" s="4">
        <f t="shared" si="40"/>
        <v>0</v>
      </c>
    </row>
    <row r="310" spans="1:11" x14ac:dyDescent="0.2">
      <c r="A310" s="64" t="str">
        <f t="shared" ref="A310:K332" si="41">A280</f>
        <v>Jeffries - PI (Summer)</v>
      </c>
      <c r="B310" s="4">
        <f t="shared" si="41"/>
        <v>0.30000000000000004</v>
      </c>
      <c r="C310" s="4">
        <f t="shared" si="41"/>
        <v>0</v>
      </c>
      <c r="D310" s="4">
        <f t="shared" si="41"/>
        <v>0.30000000000000004</v>
      </c>
      <c r="E310" s="4">
        <f t="shared" si="41"/>
        <v>0</v>
      </c>
      <c r="F310" s="4">
        <f t="shared" si="41"/>
        <v>0.30000000000000004</v>
      </c>
      <c r="G310" s="4">
        <f t="shared" si="41"/>
        <v>0</v>
      </c>
      <c r="H310" s="4">
        <f t="shared" si="41"/>
        <v>0</v>
      </c>
      <c r="I310" s="4">
        <f t="shared" si="41"/>
        <v>0</v>
      </c>
      <c r="J310" s="4">
        <f t="shared" si="41"/>
        <v>0</v>
      </c>
      <c r="K310" s="4">
        <f t="shared" si="41"/>
        <v>0</v>
      </c>
    </row>
    <row r="311" spans="1:11" x14ac:dyDescent="0.2">
      <c r="A311" s="64">
        <f t="shared" si="41"/>
        <v>0</v>
      </c>
      <c r="B311" s="4">
        <f t="shared" si="41"/>
        <v>0</v>
      </c>
      <c r="C311" s="4">
        <f t="shared" si="41"/>
        <v>0</v>
      </c>
      <c r="D311" s="4">
        <f t="shared" si="41"/>
        <v>0</v>
      </c>
      <c r="E311" s="4">
        <f t="shared" si="41"/>
        <v>0</v>
      </c>
      <c r="F311" s="4">
        <f t="shared" si="41"/>
        <v>0</v>
      </c>
      <c r="G311" s="4">
        <f t="shared" si="41"/>
        <v>0</v>
      </c>
      <c r="H311" s="4">
        <f t="shared" si="41"/>
        <v>0</v>
      </c>
      <c r="I311" s="4">
        <f t="shared" si="41"/>
        <v>0</v>
      </c>
      <c r="J311" s="4">
        <f t="shared" si="41"/>
        <v>0</v>
      </c>
      <c r="K311" s="4">
        <f t="shared" si="41"/>
        <v>0</v>
      </c>
    </row>
    <row r="312" spans="1:11" x14ac:dyDescent="0.2">
      <c r="A312" s="64">
        <f t="shared" si="41"/>
        <v>0</v>
      </c>
      <c r="B312" s="4">
        <f t="shared" si="41"/>
        <v>0</v>
      </c>
      <c r="C312" s="4">
        <f t="shared" si="41"/>
        <v>0</v>
      </c>
      <c r="D312" s="4">
        <f t="shared" si="41"/>
        <v>0</v>
      </c>
      <c r="E312" s="4">
        <f t="shared" si="41"/>
        <v>0</v>
      </c>
      <c r="F312" s="4">
        <f t="shared" si="41"/>
        <v>0</v>
      </c>
      <c r="G312" s="4">
        <f t="shared" si="41"/>
        <v>0</v>
      </c>
      <c r="H312" s="4">
        <f t="shared" si="41"/>
        <v>0</v>
      </c>
      <c r="I312" s="4">
        <f t="shared" si="41"/>
        <v>0</v>
      </c>
      <c r="J312" s="4">
        <f t="shared" si="41"/>
        <v>0</v>
      </c>
      <c r="K312" s="4">
        <f t="shared" si="41"/>
        <v>0</v>
      </c>
    </row>
    <row r="313" spans="1:11" x14ac:dyDescent="0.2">
      <c r="A313" s="64">
        <f t="shared" si="41"/>
        <v>0</v>
      </c>
      <c r="B313" s="4">
        <f t="shared" si="41"/>
        <v>0</v>
      </c>
      <c r="C313" s="4">
        <f t="shared" si="41"/>
        <v>0</v>
      </c>
      <c r="D313" s="4">
        <f t="shared" si="41"/>
        <v>0</v>
      </c>
      <c r="E313" s="4">
        <f t="shared" si="41"/>
        <v>0</v>
      </c>
      <c r="F313" s="4">
        <f t="shared" si="41"/>
        <v>0</v>
      </c>
      <c r="G313" s="4">
        <f t="shared" si="41"/>
        <v>0</v>
      </c>
      <c r="H313" s="4">
        <f t="shared" si="41"/>
        <v>0</v>
      </c>
      <c r="I313" s="4">
        <f t="shared" si="41"/>
        <v>0</v>
      </c>
      <c r="J313" s="4">
        <f t="shared" si="41"/>
        <v>0</v>
      </c>
      <c r="K313" s="4">
        <f t="shared" si="41"/>
        <v>0</v>
      </c>
    </row>
    <row r="314" spans="1:11" x14ac:dyDescent="0.2">
      <c r="A314" s="64">
        <f t="shared" si="41"/>
        <v>0</v>
      </c>
      <c r="B314" s="4">
        <f t="shared" si="41"/>
        <v>0</v>
      </c>
      <c r="C314" s="4">
        <f t="shared" si="41"/>
        <v>0</v>
      </c>
      <c r="D314" s="4">
        <f t="shared" si="41"/>
        <v>0</v>
      </c>
      <c r="E314" s="4">
        <f t="shared" si="41"/>
        <v>0</v>
      </c>
      <c r="F314" s="4">
        <f t="shared" si="41"/>
        <v>0</v>
      </c>
      <c r="G314" s="4">
        <f t="shared" si="41"/>
        <v>0</v>
      </c>
      <c r="H314" s="4">
        <f t="shared" si="41"/>
        <v>0</v>
      </c>
      <c r="I314" s="4">
        <f t="shared" si="41"/>
        <v>0</v>
      </c>
      <c r="J314" s="4">
        <f t="shared" si="41"/>
        <v>0</v>
      </c>
      <c r="K314" s="4">
        <f t="shared" si="41"/>
        <v>0</v>
      </c>
    </row>
    <row r="315" spans="1:11" x14ac:dyDescent="0.2">
      <c r="A315" s="64">
        <f t="shared" si="41"/>
        <v>0</v>
      </c>
      <c r="B315" s="4">
        <f t="shared" si="41"/>
        <v>0</v>
      </c>
      <c r="C315" s="4">
        <f t="shared" si="41"/>
        <v>0</v>
      </c>
      <c r="D315" s="4">
        <f t="shared" si="41"/>
        <v>0</v>
      </c>
      <c r="E315" s="4">
        <f t="shared" si="41"/>
        <v>0</v>
      </c>
      <c r="F315" s="4">
        <f t="shared" si="41"/>
        <v>0</v>
      </c>
      <c r="G315" s="4">
        <f t="shared" si="41"/>
        <v>0</v>
      </c>
      <c r="H315" s="4">
        <f t="shared" si="41"/>
        <v>0</v>
      </c>
      <c r="I315" s="4">
        <f t="shared" si="41"/>
        <v>0</v>
      </c>
      <c r="J315" s="4">
        <f t="shared" si="41"/>
        <v>0</v>
      </c>
      <c r="K315" s="4">
        <f t="shared" si="41"/>
        <v>0</v>
      </c>
    </row>
    <row r="316" spans="1:11" x14ac:dyDescent="0.2">
      <c r="A316" s="64">
        <f t="shared" si="41"/>
        <v>0</v>
      </c>
      <c r="B316" s="4">
        <f t="shared" si="41"/>
        <v>0</v>
      </c>
      <c r="C316" s="4">
        <f t="shared" si="41"/>
        <v>0</v>
      </c>
      <c r="D316" s="4">
        <f t="shared" si="41"/>
        <v>0</v>
      </c>
      <c r="E316" s="4">
        <f t="shared" si="41"/>
        <v>0</v>
      </c>
      <c r="F316" s="4">
        <f t="shared" si="41"/>
        <v>0</v>
      </c>
      <c r="G316" s="4">
        <f t="shared" si="41"/>
        <v>0</v>
      </c>
      <c r="H316" s="4">
        <f t="shared" si="41"/>
        <v>0</v>
      </c>
      <c r="I316" s="4">
        <f t="shared" si="41"/>
        <v>0</v>
      </c>
      <c r="J316" s="4">
        <f t="shared" si="41"/>
        <v>0</v>
      </c>
      <c r="K316" s="4">
        <f t="shared" si="41"/>
        <v>0</v>
      </c>
    </row>
    <row r="317" spans="1:11" x14ac:dyDescent="0.2">
      <c r="A317" s="64">
        <f t="shared" si="41"/>
        <v>0</v>
      </c>
      <c r="B317" s="4">
        <f t="shared" si="41"/>
        <v>0</v>
      </c>
      <c r="C317" s="4">
        <f t="shared" si="41"/>
        <v>0</v>
      </c>
      <c r="D317" s="4">
        <f t="shared" si="41"/>
        <v>0</v>
      </c>
      <c r="E317" s="4">
        <f t="shared" si="41"/>
        <v>0</v>
      </c>
      <c r="F317" s="4">
        <f t="shared" si="41"/>
        <v>0</v>
      </c>
      <c r="G317" s="4">
        <f t="shared" si="41"/>
        <v>0</v>
      </c>
      <c r="H317" s="4">
        <f t="shared" si="41"/>
        <v>0</v>
      </c>
      <c r="I317" s="4">
        <f t="shared" si="41"/>
        <v>0</v>
      </c>
      <c r="J317" s="4">
        <f t="shared" si="41"/>
        <v>0</v>
      </c>
      <c r="K317" s="4">
        <f t="shared" si="41"/>
        <v>0</v>
      </c>
    </row>
    <row r="318" spans="1:11" x14ac:dyDescent="0.2">
      <c r="A318" s="64">
        <f t="shared" si="41"/>
        <v>0</v>
      </c>
      <c r="B318" s="4">
        <f t="shared" si="41"/>
        <v>0</v>
      </c>
      <c r="C318" s="4">
        <f t="shared" si="41"/>
        <v>0</v>
      </c>
      <c r="D318" s="4">
        <f t="shared" si="41"/>
        <v>0</v>
      </c>
      <c r="E318" s="4">
        <f t="shared" si="41"/>
        <v>0</v>
      </c>
      <c r="F318" s="4">
        <f t="shared" si="41"/>
        <v>0</v>
      </c>
      <c r="G318" s="4">
        <f t="shared" si="41"/>
        <v>0</v>
      </c>
      <c r="H318" s="4">
        <f t="shared" si="41"/>
        <v>0</v>
      </c>
      <c r="I318" s="4">
        <f t="shared" si="41"/>
        <v>0</v>
      </c>
      <c r="J318" s="4">
        <f t="shared" si="41"/>
        <v>0</v>
      </c>
      <c r="K318" s="4">
        <f t="shared" si="41"/>
        <v>0</v>
      </c>
    </row>
    <row r="319" spans="1:11" x14ac:dyDescent="0.2">
      <c r="A319" s="64">
        <f t="shared" si="41"/>
        <v>0</v>
      </c>
      <c r="B319" s="4">
        <f t="shared" si="41"/>
        <v>0</v>
      </c>
      <c r="C319" s="4">
        <f t="shared" si="41"/>
        <v>0</v>
      </c>
      <c r="D319" s="4">
        <f t="shared" si="41"/>
        <v>0</v>
      </c>
      <c r="E319" s="4">
        <f t="shared" si="41"/>
        <v>0</v>
      </c>
      <c r="F319" s="4">
        <f t="shared" si="41"/>
        <v>0</v>
      </c>
      <c r="G319" s="4">
        <f t="shared" si="41"/>
        <v>0</v>
      </c>
      <c r="H319" s="4">
        <f t="shared" si="41"/>
        <v>0</v>
      </c>
      <c r="I319" s="4">
        <f t="shared" si="41"/>
        <v>0</v>
      </c>
      <c r="J319" s="4">
        <f t="shared" si="41"/>
        <v>0</v>
      </c>
      <c r="K319" s="4">
        <f t="shared" si="41"/>
        <v>0</v>
      </c>
    </row>
    <row r="320" spans="1:11" x14ac:dyDescent="0.2">
      <c r="A320" s="64">
        <f t="shared" si="41"/>
        <v>0</v>
      </c>
      <c r="B320" s="4">
        <f t="shared" si="41"/>
        <v>0</v>
      </c>
      <c r="C320" s="4">
        <f t="shared" si="41"/>
        <v>0</v>
      </c>
      <c r="D320" s="4">
        <f t="shared" si="41"/>
        <v>0</v>
      </c>
      <c r="E320" s="4">
        <f t="shared" si="41"/>
        <v>0</v>
      </c>
      <c r="F320" s="4">
        <f t="shared" si="41"/>
        <v>0</v>
      </c>
      <c r="G320" s="4">
        <f t="shared" si="41"/>
        <v>0</v>
      </c>
      <c r="H320" s="4">
        <f t="shared" si="41"/>
        <v>0</v>
      </c>
      <c r="I320" s="4">
        <f t="shared" si="41"/>
        <v>0</v>
      </c>
      <c r="J320" s="4">
        <f t="shared" si="41"/>
        <v>0</v>
      </c>
      <c r="K320" s="4">
        <f t="shared" si="41"/>
        <v>0</v>
      </c>
    </row>
    <row r="321" spans="1:11" x14ac:dyDescent="0.2">
      <c r="A321" s="64">
        <f t="shared" si="41"/>
        <v>0</v>
      </c>
      <c r="B321" s="4">
        <f t="shared" si="41"/>
        <v>0</v>
      </c>
      <c r="C321" s="4">
        <f t="shared" si="41"/>
        <v>0</v>
      </c>
      <c r="D321" s="4">
        <f t="shared" si="41"/>
        <v>0</v>
      </c>
      <c r="E321" s="4">
        <f t="shared" si="41"/>
        <v>0</v>
      </c>
      <c r="F321" s="4">
        <f t="shared" si="41"/>
        <v>0</v>
      </c>
      <c r="G321" s="4">
        <f t="shared" si="41"/>
        <v>0</v>
      </c>
      <c r="H321" s="4">
        <f t="shared" si="41"/>
        <v>0</v>
      </c>
      <c r="I321" s="4">
        <f t="shared" si="41"/>
        <v>0</v>
      </c>
      <c r="J321" s="4">
        <f t="shared" si="41"/>
        <v>0</v>
      </c>
      <c r="K321" s="4">
        <f t="shared" si="41"/>
        <v>0</v>
      </c>
    </row>
    <row r="322" spans="1:11" x14ac:dyDescent="0.2">
      <c r="A322" s="64">
        <f t="shared" si="41"/>
        <v>0</v>
      </c>
      <c r="B322" s="4">
        <f t="shared" si="41"/>
        <v>0</v>
      </c>
      <c r="C322" s="4">
        <f t="shared" si="41"/>
        <v>0</v>
      </c>
      <c r="D322" s="4">
        <f t="shared" si="41"/>
        <v>0</v>
      </c>
      <c r="E322" s="4">
        <f t="shared" si="41"/>
        <v>0</v>
      </c>
      <c r="F322" s="4">
        <f t="shared" si="41"/>
        <v>0</v>
      </c>
      <c r="G322" s="4">
        <f t="shared" si="41"/>
        <v>0</v>
      </c>
      <c r="H322" s="4">
        <f t="shared" si="41"/>
        <v>0</v>
      </c>
      <c r="I322" s="4">
        <f t="shared" si="41"/>
        <v>0</v>
      </c>
      <c r="J322" s="4">
        <f t="shared" si="41"/>
        <v>0</v>
      </c>
      <c r="K322" s="4">
        <f t="shared" si="41"/>
        <v>0</v>
      </c>
    </row>
    <row r="323" spans="1:11" x14ac:dyDescent="0.2">
      <c r="A323" s="64">
        <f t="shared" si="41"/>
        <v>0</v>
      </c>
      <c r="B323" s="4">
        <f t="shared" si="41"/>
        <v>0</v>
      </c>
      <c r="C323" s="4">
        <f t="shared" si="41"/>
        <v>0</v>
      </c>
      <c r="D323" s="4">
        <f t="shared" si="41"/>
        <v>0</v>
      </c>
      <c r="E323" s="4">
        <f t="shared" si="41"/>
        <v>0</v>
      </c>
      <c r="F323" s="4">
        <f t="shared" si="41"/>
        <v>0</v>
      </c>
      <c r="G323" s="4">
        <f t="shared" si="41"/>
        <v>0</v>
      </c>
      <c r="H323" s="4">
        <f t="shared" si="41"/>
        <v>0</v>
      </c>
      <c r="I323" s="4">
        <f t="shared" si="41"/>
        <v>0</v>
      </c>
      <c r="J323" s="4">
        <f t="shared" si="41"/>
        <v>0</v>
      </c>
      <c r="K323" s="4">
        <f t="shared" si="41"/>
        <v>0</v>
      </c>
    </row>
    <row r="324" spans="1:11" x14ac:dyDescent="0.2">
      <c r="A324" s="64">
        <f t="shared" si="41"/>
        <v>0</v>
      </c>
      <c r="B324" s="4">
        <f t="shared" si="41"/>
        <v>0</v>
      </c>
      <c r="C324" s="4">
        <f t="shared" si="41"/>
        <v>0</v>
      </c>
      <c r="D324" s="4">
        <f t="shared" si="41"/>
        <v>0</v>
      </c>
      <c r="E324" s="4">
        <f t="shared" si="41"/>
        <v>0</v>
      </c>
      <c r="F324" s="4">
        <f t="shared" si="41"/>
        <v>0</v>
      </c>
      <c r="G324" s="4">
        <f t="shared" si="41"/>
        <v>0</v>
      </c>
      <c r="H324" s="4">
        <f t="shared" si="41"/>
        <v>0</v>
      </c>
      <c r="I324" s="4">
        <f t="shared" si="41"/>
        <v>0</v>
      </c>
      <c r="J324" s="4">
        <f t="shared" si="41"/>
        <v>0</v>
      </c>
      <c r="K324" s="4">
        <f t="shared" si="41"/>
        <v>0</v>
      </c>
    </row>
    <row r="325" spans="1:11" x14ac:dyDescent="0.2">
      <c r="A325" s="64">
        <f t="shared" si="41"/>
        <v>0</v>
      </c>
      <c r="B325" s="4">
        <f t="shared" si="41"/>
        <v>0</v>
      </c>
      <c r="C325" s="4">
        <f t="shared" si="41"/>
        <v>0</v>
      </c>
      <c r="D325" s="4">
        <f t="shared" si="41"/>
        <v>0</v>
      </c>
      <c r="E325" s="4">
        <f t="shared" si="41"/>
        <v>0</v>
      </c>
      <c r="F325" s="4">
        <f t="shared" si="41"/>
        <v>0</v>
      </c>
      <c r="G325" s="4">
        <f t="shared" si="41"/>
        <v>0</v>
      </c>
      <c r="H325" s="4">
        <f t="shared" si="41"/>
        <v>0</v>
      </c>
      <c r="I325" s="4">
        <f t="shared" si="41"/>
        <v>0</v>
      </c>
      <c r="J325" s="4">
        <f t="shared" si="41"/>
        <v>0</v>
      </c>
      <c r="K325" s="4">
        <f t="shared" si="41"/>
        <v>0</v>
      </c>
    </row>
    <row r="326" spans="1:11" x14ac:dyDescent="0.2">
      <c r="A326" s="64">
        <f t="shared" si="41"/>
        <v>0</v>
      </c>
      <c r="B326" s="4">
        <f t="shared" si="41"/>
        <v>0</v>
      </c>
      <c r="C326" s="4">
        <f t="shared" si="41"/>
        <v>0</v>
      </c>
      <c r="D326" s="4">
        <f t="shared" si="41"/>
        <v>0</v>
      </c>
      <c r="E326" s="4">
        <f t="shared" si="41"/>
        <v>0</v>
      </c>
      <c r="F326" s="4">
        <f t="shared" si="41"/>
        <v>0</v>
      </c>
      <c r="G326" s="4">
        <f t="shared" si="41"/>
        <v>0</v>
      </c>
      <c r="H326" s="4">
        <f t="shared" si="41"/>
        <v>0</v>
      </c>
      <c r="I326" s="4">
        <f t="shared" si="41"/>
        <v>0</v>
      </c>
      <c r="J326" s="4">
        <f t="shared" si="41"/>
        <v>0</v>
      </c>
      <c r="K326" s="4">
        <f t="shared" si="41"/>
        <v>0</v>
      </c>
    </row>
    <row r="327" spans="1:11" x14ac:dyDescent="0.2">
      <c r="A327" s="64">
        <f t="shared" si="41"/>
        <v>0</v>
      </c>
      <c r="B327" s="4">
        <f t="shared" si="41"/>
        <v>0</v>
      </c>
      <c r="C327" s="4">
        <f t="shared" si="41"/>
        <v>0</v>
      </c>
      <c r="D327" s="4">
        <f t="shared" si="41"/>
        <v>0</v>
      </c>
      <c r="E327" s="4">
        <f t="shared" si="41"/>
        <v>0</v>
      </c>
      <c r="F327" s="4">
        <f t="shared" si="41"/>
        <v>0</v>
      </c>
      <c r="G327" s="4">
        <f t="shared" si="41"/>
        <v>0</v>
      </c>
      <c r="H327" s="4">
        <f t="shared" si="41"/>
        <v>0</v>
      </c>
      <c r="I327" s="4">
        <f t="shared" si="41"/>
        <v>0</v>
      </c>
      <c r="J327" s="4">
        <f t="shared" si="41"/>
        <v>0</v>
      </c>
      <c r="K327" s="4">
        <f t="shared" si="41"/>
        <v>0</v>
      </c>
    </row>
    <row r="328" spans="1:11" x14ac:dyDescent="0.2">
      <c r="A328" s="64">
        <f t="shared" si="41"/>
        <v>0</v>
      </c>
      <c r="B328" s="4">
        <f t="shared" si="41"/>
        <v>0</v>
      </c>
      <c r="C328" s="4">
        <f t="shared" si="41"/>
        <v>0</v>
      </c>
      <c r="D328" s="4">
        <f t="shared" si="41"/>
        <v>0</v>
      </c>
      <c r="E328" s="4">
        <f t="shared" si="41"/>
        <v>0</v>
      </c>
      <c r="F328" s="4">
        <f t="shared" si="41"/>
        <v>0</v>
      </c>
      <c r="G328" s="4">
        <f t="shared" si="41"/>
        <v>0</v>
      </c>
      <c r="H328" s="4">
        <f t="shared" si="41"/>
        <v>0</v>
      </c>
      <c r="I328" s="4">
        <f t="shared" si="41"/>
        <v>0</v>
      </c>
      <c r="J328" s="4">
        <f t="shared" si="41"/>
        <v>0</v>
      </c>
      <c r="K328" s="4">
        <f t="shared" si="41"/>
        <v>0</v>
      </c>
    </row>
    <row r="329" spans="1:11" x14ac:dyDescent="0.2">
      <c r="A329" s="64">
        <f t="shared" si="41"/>
        <v>0</v>
      </c>
      <c r="B329" s="4">
        <f t="shared" si="41"/>
        <v>0</v>
      </c>
      <c r="C329" s="4">
        <f t="shared" si="41"/>
        <v>0</v>
      </c>
      <c r="D329" s="4">
        <f t="shared" si="41"/>
        <v>0</v>
      </c>
      <c r="E329" s="4">
        <f t="shared" si="41"/>
        <v>0</v>
      </c>
      <c r="F329" s="4">
        <f t="shared" si="41"/>
        <v>0</v>
      </c>
      <c r="G329" s="4">
        <f t="shared" si="41"/>
        <v>0</v>
      </c>
      <c r="H329" s="4">
        <f t="shared" si="41"/>
        <v>0</v>
      </c>
      <c r="I329" s="4">
        <f t="shared" si="41"/>
        <v>0</v>
      </c>
      <c r="J329" s="4">
        <f t="shared" si="41"/>
        <v>0</v>
      </c>
      <c r="K329" s="4">
        <f t="shared" si="41"/>
        <v>0</v>
      </c>
    </row>
    <row r="330" spans="1:11" x14ac:dyDescent="0.2">
      <c r="A330" s="64">
        <f t="shared" si="41"/>
        <v>0</v>
      </c>
      <c r="B330" s="4">
        <f t="shared" si="41"/>
        <v>0</v>
      </c>
      <c r="C330" s="4">
        <f t="shared" si="41"/>
        <v>0</v>
      </c>
      <c r="D330" s="4">
        <f t="shared" si="41"/>
        <v>0</v>
      </c>
      <c r="E330" s="4">
        <f t="shared" si="41"/>
        <v>0</v>
      </c>
      <c r="F330" s="4">
        <f t="shared" si="41"/>
        <v>0</v>
      </c>
      <c r="G330" s="4">
        <f t="shared" si="41"/>
        <v>0</v>
      </c>
      <c r="H330" s="4">
        <f t="shared" si="41"/>
        <v>0</v>
      </c>
      <c r="I330" s="4">
        <f t="shared" si="41"/>
        <v>0</v>
      </c>
      <c r="J330" s="4">
        <f t="shared" si="41"/>
        <v>0</v>
      </c>
      <c r="K330" s="4">
        <f>K300</f>
        <v>0</v>
      </c>
    </row>
    <row r="331" spans="1:11" x14ac:dyDescent="0.2">
      <c r="A331" s="64">
        <f t="shared" si="41"/>
        <v>0</v>
      </c>
      <c r="B331" s="4">
        <f t="shared" ref="B331:K331" si="42">B301</f>
        <v>0</v>
      </c>
      <c r="C331" s="4">
        <f t="shared" si="42"/>
        <v>0</v>
      </c>
      <c r="D331" s="4">
        <f t="shared" si="42"/>
        <v>0</v>
      </c>
      <c r="E331" s="4">
        <f t="shared" si="42"/>
        <v>0</v>
      </c>
      <c r="F331" s="4">
        <f t="shared" si="42"/>
        <v>0</v>
      </c>
      <c r="G331" s="4">
        <f t="shared" si="42"/>
        <v>0</v>
      </c>
      <c r="H331" s="4">
        <f t="shared" si="42"/>
        <v>0</v>
      </c>
      <c r="I331" s="4">
        <f t="shared" si="42"/>
        <v>0</v>
      </c>
      <c r="J331" s="4">
        <f t="shared" si="42"/>
        <v>0</v>
      </c>
      <c r="K331" s="4">
        <f t="shared" si="42"/>
        <v>0</v>
      </c>
    </row>
    <row r="332" spans="1:11" x14ac:dyDescent="0.2">
      <c r="A332" s="68">
        <f t="shared" si="41"/>
        <v>0</v>
      </c>
      <c r="B332" s="4">
        <f t="shared" ref="B332:K332" si="43">B302</f>
        <v>0</v>
      </c>
      <c r="C332" s="4">
        <f t="shared" si="43"/>
        <v>0</v>
      </c>
      <c r="D332" s="4">
        <f t="shared" si="43"/>
        <v>0</v>
      </c>
      <c r="E332" s="4">
        <f t="shared" si="43"/>
        <v>0</v>
      </c>
      <c r="F332" s="4">
        <f t="shared" si="43"/>
        <v>0</v>
      </c>
      <c r="G332" s="4">
        <f t="shared" si="43"/>
        <v>0</v>
      </c>
      <c r="H332" s="4">
        <f t="shared" si="43"/>
        <v>0</v>
      </c>
      <c r="I332" s="4">
        <f t="shared" si="43"/>
        <v>0</v>
      </c>
      <c r="J332" s="4">
        <f t="shared" si="43"/>
        <v>0</v>
      </c>
      <c r="K332" s="4">
        <f t="shared" si="43"/>
        <v>0</v>
      </c>
    </row>
    <row r="333" spans="1:11" x14ac:dyDescent="0.2">
      <c r="A333" s="70"/>
      <c r="B333" s="20"/>
      <c r="C333" s="19"/>
      <c r="D333" s="20"/>
      <c r="E333" s="19"/>
      <c r="F333" s="20"/>
      <c r="G333" s="19"/>
      <c r="H333" s="20"/>
      <c r="I333" s="19"/>
      <c r="J333" s="20"/>
      <c r="K333" s="19"/>
    </row>
    <row r="335" spans="1:11" x14ac:dyDescent="0.2">
      <c r="A335" s="69" t="s">
        <v>109</v>
      </c>
      <c r="B335" s="310"/>
      <c r="C335" s="310"/>
      <c r="D335" s="310"/>
      <c r="E335" s="310"/>
      <c r="F335" s="310"/>
      <c r="G335" s="310"/>
      <c r="H335" s="310"/>
      <c r="I335" s="310"/>
      <c r="J335" s="310"/>
      <c r="K335" s="310"/>
    </row>
    <row r="336" spans="1:11" x14ac:dyDescent="0.2">
      <c r="A336" s="71" t="str">
        <f>A309</f>
        <v>Jeffries - PI (AY)</v>
      </c>
      <c r="B336" s="325" t="str">
        <f>IF(B$308=C$308,B$308*100,IF(C309=0,B$308*100&amp;"/0",IF(B309=0,"0/"&amp;C$308*100,B$308*100&amp;"/"&amp;C$308*100)))</f>
        <v>0/10.6</v>
      </c>
      <c r="C336" s="326"/>
      <c r="D336" s="327" t="str">
        <f>IF(D$308=E$308,D$308*100,IF(E309=0,D$308*100&amp;"/0",IF(D309=0,"0/"&amp;E$308*100,D$308*100&amp;"/"&amp;E$308*100)))</f>
        <v>0/10.9</v>
      </c>
      <c r="E336" s="328"/>
      <c r="F336" s="327" t="str">
        <f>IF(F$308=G$308,F$308*100,IF(G309=0,F$308*100&amp;"/0",IF(F309=0,"0/"&amp;G$308*100,F$308*100&amp;"/"&amp;G$308*100)))</f>
        <v>0/11.2</v>
      </c>
      <c r="G336" s="328"/>
      <c r="H336" s="327" t="str">
        <f>IF(H$308=I$308,H$308*100,IF(I309=0,H$308*100&amp;"/0",IF(H309=0,"0/"&amp;I$308*100,H$308*100&amp;"/"&amp;I$308*100)))</f>
        <v>11.2/0</v>
      </c>
      <c r="I336" s="328"/>
      <c r="J336" s="325" t="str">
        <f t="shared" ref="J336:J359" si="44">IF($G$5="","",IF(J$308=K$308,J$308*100,IF(K309=0,J$308*100&amp;"/0",IF(J309=0,"0/"&amp;K$308*100,J$308*100&amp;"/"&amp;K$308*100))))</f>
        <v>11.5/0</v>
      </c>
      <c r="K336" s="326"/>
    </row>
    <row r="337" spans="1:11" x14ac:dyDescent="0.2">
      <c r="A337" s="71" t="str">
        <f t="shared" ref="A337:A359" si="45">A310</f>
        <v>Jeffries - PI (Summer)</v>
      </c>
      <c r="B337" s="325" t="str">
        <f>IF(B$308=C$308,B$308*100,IF(C310=0,B$308*100&amp;"/0",IF(B310=0,"0/"&amp;C$308*100,B$308*100&amp;"/"&amp;C$308*100)))</f>
        <v>10.3/0</v>
      </c>
      <c r="C337" s="326"/>
      <c r="D337" s="327" t="str">
        <f t="shared" ref="D337:D359" si="46">IF(D$308=E$308,D$308*100,IF(E310=0,D$308*100&amp;"/0",IF(D310=0,"0/"&amp;E$308*100,D$308*100&amp;"/"&amp;E$308*100)))</f>
        <v>10.6/0</v>
      </c>
      <c r="E337" s="328"/>
      <c r="F337" s="327" t="str">
        <f t="shared" ref="F337:F359" si="47">IF(F$308=G$308,F$308*100,IF(G310=0,F$308*100&amp;"/0",IF(F310=0,"0/"&amp;G$308*100,F$308*100&amp;"/"&amp;G$308*100)))</f>
        <v>10.9/0</v>
      </c>
      <c r="G337" s="328"/>
      <c r="H337" s="327" t="str">
        <f t="shared" ref="H337:H359" si="48">IF(H$308=I$308,H$308*100,IF(I310=0,H$308*100&amp;"/0",IF(H310=0,"0/"&amp;I$308*100,H$308*100&amp;"/"&amp;I$308*100)))</f>
        <v>11.2/0</v>
      </c>
      <c r="I337" s="328"/>
      <c r="J337" s="325" t="str">
        <f t="shared" si="44"/>
        <v>11.5/0</v>
      </c>
      <c r="K337" s="326"/>
    </row>
    <row r="338" spans="1:11" x14ac:dyDescent="0.2">
      <c r="A338" s="71">
        <f t="shared" si="45"/>
        <v>0</v>
      </c>
      <c r="B338" s="325" t="str">
        <f>IF(B$308=C$308,B$308*100,IF(C311=0,B$308*100&amp;"/0",IF(B311=0,"0/"&amp;C$308*100,B$308*100&amp;"/"&amp;C$308*100)))</f>
        <v>10.3/0</v>
      </c>
      <c r="C338" s="326"/>
      <c r="D338" s="327" t="str">
        <f t="shared" si="46"/>
        <v>10.6/0</v>
      </c>
      <c r="E338" s="328"/>
      <c r="F338" s="327" t="str">
        <f t="shared" si="47"/>
        <v>10.9/0</v>
      </c>
      <c r="G338" s="328"/>
      <c r="H338" s="327" t="str">
        <f t="shared" si="48"/>
        <v>11.2/0</v>
      </c>
      <c r="I338" s="328"/>
      <c r="J338" s="325" t="str">
        <f t="shared" si="44"/>
        <v>11.5/0</v>
      </c>
      <c r="K338" s="326"/>
    </row>
    <row r="339" spans="1:11" x14ac:dyDescent="0.2">
      <c r="A339" s="71">
        <f t="shared" si="45"/>
        <v>0</v>
      </c>
      <c r="B339" s="325" t="str">
        <f>IF(B$308=C$308,B$308*100,IF(C312=0,B$308*100&amp;"/0",IF(B312=0,"0/"&amp;C$308*100,B$308*100&amp;"/"&amp;C$308*100)))</f>
        <v>10.3/0</v>
      </c>
      <c r="C339" s="326"/>
      <c r="D339" s="327" t="str">
        <f t="shared" si="46"/>
        <v>10.6/0</v>
      </c>
      <c r="E339" s="328"/>
      <c r="F339" s="327" t="str">
        <f t="shared" si="47"/>
        <v>10.9/0</v>
      </c>
      <c r="G339" s="328"/>
      <c r="H339" s="327" t="str">
        <f t="shared" si="48"/>
        <v>11.2/0</v>
      </c>
      <c r="I339" s="328"/>
      <c r="J339" s="325" t="str">
        <f t="shared" si="44"/>
        <v>11.5/0</v>
      </c>
      <c r="K339" s="326"/>
    </row>
    <row r="340" spans="1:11" x14ac:dyDescent="0.2">
      <c r="A340" s="71">
        <f t="shared" si="45"/>
        <v>0</v>
      </c>
      <c r="B340" s="325" t="str">
        <f t="shared" ref="B340:B359" si="49">IF(B$308=C$308,B$308*100,IF(C313=0,B$308*100&amp;"/0",IF(B313=0,"0/"&amp;C$308*100,B$308*100&amp;"/"&amp;C$308*100)))</f>
        <v>10.3/0</v>
      </c>
      <c r="C340" s="326"/>
      <c r="D340" s="327" t="str">
        <f t="shared" si="46"/>
        <v>10.6/0</v>
      </c>
      <c r="E340" s="328"/>
      <c r="F340" s="327" t="str">
        <f t="shared" si="47"/>
        <v>10.9/0</v>
      </c>
      <c r="G340" s="328"/>
      <c r="H340" s="327" t="str">
        <f t="shared" si="48"/>
        <v>11.2/0</v>
      </c>
      <c r="I340" s="328"/>
      <c r="J340" s="325" t="str">
        <f t="shared" si="44"/>
        <v>11.5/0</v>
      </c>
      <c r="K340" s="326"/>
    </row>
    <row r="341" spans="1:11" x14ac:dyDescent="0.2">
      <c r="A341" s="71">
        <f t="shared" si="45"/>
        <v>0</v>
      </c>
      <c r="B341" s="325" t="str">
        <f t="shared" si="49"/>
        <v>10.3/0</v>
      </c>
      <c r="C341" s="326"/>
      <c r="D341" s="327" t="str">
        <f t="shared" si="46"/>
        <v>10.6/0</v>
      </c>
      <c r="E341" s="328"/>
      <c r="F341" s="327" t="str">
        <f t="shared" si="47"/>
        <v>10.9/0</v>
      </c>
      <c r="G341" s="328"/>
      <c r="H341" s="327" t="str">
        <f t="shared" si="48"/>
        <v>11.2/0</v>
      </c>
      <c r="I341" s="328"/>
      <c r="J341" s="325" t="str">
        <f t="shared" si="44"/>
        <v>11.5/0</v>
      </c>
      <c r="K341" s="326"/>
    </row>
    <row r="342" spans="1:11" x14ac:dyDescent="0.2">
      <c r="A342" s="71">
        <f t="shared" si="45"/>
        <v>0</v>
      </c>
      <c r="B342" s="325" t="str">
        <f t="shared" si="49"/>
        <v>10.3/0</v>
      </c>
      <c r="C342" s="326"/>
      <c r="D342" s="327" t="str">
        <f t="shared" si="46"/>
        <v>10.6/0</v>
      </c>
      <c r="E342" s="328"/>
      <c r="F342" s="327" t="str">
        <f t="shared" si="47"/>
        <v>10.9/0</v>
      </c>
      <c r="G342" s="328"/>
      <c r="H342" s="327" t="str">
        <f t="shared" si="48"/>
        <v>11.2/0</v>
      </c>
      <c r="I342" s="328"/>
      <c r="J342" s="325" t="str">
        <f t="shared" si="44"/>
        <v>11.5/0</v>
      </c>
      <c r="K342" s="326"/>
    </row>
    <row r="343" spans="1:11" x14ac:dyDescent="0.2">
      <c r="A343" s="71">
        <f t="shared" si="45"/>
        <v>0</v>
      </c>
      <c r="B343" s="325" t="str">
        <f t="shared" si="49"/>
        <v>10.3/0</v>
      </c>
      <c r="C343" s="326"/>
      <c r="D343" s="327" t="str">
        <f t="shared" si="46"/>
        <v>10.6/0</v>
      </c>
      <c r="E343" s="328"/>
      <c r="F343" s="327" t="str">
        <f t="shared" si="47"/>
        <v>10.9/0</v>
      </c>
      <c r="G343" s="328"/>
      <c r="H343" s="327" t="str">
        <f t="shared" si="48"/>
        <v>11.2/0</v>
      </c>
      <c r="I343" s="328"/>
      <c r="J343" s="325" t="str">
        <f t="shared" si="44"/>
        <v>11.5/0</v>
      </c>
      <c r="K343" s="326"/>
    </row>
    <row r="344" spans="1:11" x14ac:dyDescent="0.2">
      <c r="A344" s="71">
        <f t="shared" si="45"/>
        <v>0</v>
      </c>
      <c r="B344" s="325" t="str">
        <f t="shared" si="49"/>
        <v>10.3/0</v>
      </c>
      <c r="C344" s="326"/>
      <c r="D344" s="327" t="str">
        <f t="shared" si="46"/>
        <v>10.6/0</v>
      </c>
      <c r="E344" s="328"/>
      <c r="F344" s="327" t="str">
        <f t="shared" si="47"/>
        <v>10.9/0</v>
      </c>
      <c r="G344" s="328"/>
      <c r="H344" s="327" t="str">
        <f t="shared" si="48"/>
        <v>11.2/0</v>
      </c>
      <c r="I344" s="328"/>
      <c r="J344" s="325" t="str">
        <f t="shared" si="44"/>
        <v>11.5/0</v>
      </c>
      <c r="K344" s="326"/>
    </row>
    <row r="345" spans="1:11" x14ac:dyDescent="0.2">
      <c r="A345" s="71">
        <f t="shared" si="45"/>
        <v>0</v>
      </c>
      <c r="B345" s="325" t="str">
        <f t="shared" si="49"/>
        <v>10.3/0</v>
      </c>
      <c r="C345" s="326"/>
      <c r="D345" s="327" t="str">
        <f t="shared" si="46"/>
        <v>10.6/0</v>
      </c>
      <c r="E345" s="328"/>
      <c r="F345" s="327" t="str">
        <f t="shared" si="47"/>
        <v>10.9/0</v>
      </c>
      <c r="G345" s="328"/>
      <c r="H345" s="327" t="str">
        <f t="shared" si="48"/>
        <v>11.2/0</v>
      </c>
      <c r="I345" s="328"/>
      <c r="J345" s="325" t="str">
        <f t="shared" si="44"/>
        <v>11.5/0</v>
      </c>
      <c r="K345" s="326"/>
    </row>
    <row r="346" spans="1:11" x14ac:dyDescent="0.2">
      <c r="A346" s="71">
        <f t="shared" si="45"/>
        <v>0</v>
      </c>
      <c r="B346" s="325" t="str">
        <f t="shared" si="49"/>
        <v>10.3/0</v>
      </c>
      <c r="C346" s="326"/>
      <c r="D346" s="327" t="str">
        <f t="shared" si="46"/>
        <v>10.6/0</v>
      </c>
      <c r="E346" s="328"/>
      <c r="F346" s="327" t="str">
        <f t="shared" si="47"/>
        <v>10.9/0</v>
      </c>
      <c r="G346" s="328"/>
      <c r="H346" s="327" t="str">
        <f t="shared" si="48"/>
        <v>11.2/0</v>
      </c>
      <c r="I346" s="328"/>
      <c r="J346" s="325" t="str">
        <f t="shared" si="44"/>
        <v>11.5/0</v>
      </c>
      <c r="K346" s="326"/>
    </row>
    <row r="347" spans="1:11" x14ac:dyDescent="0.2">
      <c r="A347" s="71">
        <f t="shared" si="45"/>
        <v>0</v>
      </c>
      <c r="B347" s="325" t="str">
        <f t="shared" si="49"/>
        <v>10.3/0</v>
      </c>
      <c r="C347" s="326"/>
      <c r="D347" s="327" t="str">
        <f t="shared" si="46"/>
        <v>10.6/0</v>
      </c>
      <c r="E347" s="328"/>
      <c r="F347" s="327" t="str">
        <f t="shared" si="47"/>
        <v>10.9/0</v>
      </c>
      <c r="G347" s="328"/>
      <c r="H347" s="327" t="str">
        <f t="shared" si="48"/>
        <v>11.2/0</v>
      </c>
      <c r="I347" s="328"/>
      <c r="J347" s="325" t="str">
        <f t="shared" si="44"/>
        <v>11.5/0</v>
      </c>
      <c r="K347" s="326"/>
    </row>
    <row r="348" spans="1:11" x14ac:dyDescent="0.2">
      <c r="A348" s="71">
        <f t="shared" si="45"/>
        <v>0</v>
      </c>
      <c r="B348" s="325" t="str">
        <f t="shared" si="49"/>
        <v>10.3/0</v>
      </c>
      <c r="C348" s="326"/>
      <c r="D348" s="327" t="str">
        <f>IF(D$308=E$308,D$308*100,IF(E321=0,D$308*100&amp;"/0",IF(D321=0,"0/"&amp;E$308*100,D$308*100&amp;"/"&amp;E$308*100)))</f>
        <v>10.6/0</v>
      </c>
      <c r="E348" s="328"/>
      <c r="F348" s="327" t="str">
        <f t="shared" si="47"/>
        <v>10.9/0</v>
      </c>
      <c r="G348" s="328"/>
      <c r="H348" s="327" t="str">
        <f t="shared" si="48"/>
        <v>11.2/0</v>
      </c>
      <c r="I348" s="328"/>
      <c r="J348" s="325" t="str">
        <f t="shared" si="44"/>
        <v>11.5/0</v>
      </c>
      <c r="K348" s="326"/>
    </row>
    <row r="349" spans="1:11" x14ac:dyDescent="0.2">
      <c r="A349" s="71">
        <f t="shared" si="45"/>
        <v>0</v>
      </c>
      <c r="B349" s="325" t="str">
        <f t="shared" si="49"/>
        <v>10.3/0</v>
      </c>
      <c r="C349" s="326"/>
      <c r="D349" s="327" t="str">
        <f t="shared" si="46"/>
        <v>10.6/0</v>
      </c>
      <c r="E349" s="328"/>
      <c r="F349" s="327" t="str">
        <f t="shared" si="47"/>
        <v>10.9/0</v>
      </c>
      <c r="G349" s="328"/>
      <c r="H349" s="327" t="str">
        <f t="shared" si="48"/>
        <v>11.2/0</v>
      </c>
      <c r="I349" s="328"/>
      <c r="J349" s="325" t="str">
        <f t="shared" si="44"/>
        <v>11.5/0</v>
      </c>
      <c r="K349" s="326"/>
    </row>
    <row r="350" spans="1:11" x14ac:dyDescent="0.2">
      <c r="A350" s="71">
        <f t="shared" si="45"/>
        <v>0</v>
      </c>
      <c r="B350" s="325" t="str">
        <f t="shared" si="49"/>
        <v>10.3/0</v>
      </c>
      <c r="C350" s="326"/>
      <c r="D350" s="327" t="str">
        <f t="shared" si="46"/>
        <v>10.6/0</v>
      </c>
      <c r="E350" s="328"/>
      <c r="F350" s="327" t="str">
        <f t="shared" si="47"/>
        <v>10.9/0</v>
      </c>
      <c r="G350" s="328"/>
      <c r="H350" s="327" t="str">
        <f t="shared" si="48"/>
        <v>11.2/0</v>
      </c>
      <c r="I350" s="328"/>
      <c r="J350" s="325" t="str">
        <f t="shared" si="44"/>
        <v>11.5/0</v>
      </c>
      <c r="K350" s="326"/>
    </row>
    <row r="351" spans="1:11" x14ac:dyDescent="0.2">
      <c r="A351" s="71">
        <f t="shared" si="45"/>
        <v>0</v>
      </c>
      <c r="B351" s="325" t="str">
        <f t="shared" si="49"/>
        <v>10.3/0</v>
      </c>
      <c r="C351" s="326"/>
      <c r="D351" s="327" t="str">
        <f t="shared" si="46"/>
        <v>10.6/0</v>
      </c>
      <c r="E351" s="328"/>
      <c r="F351" s="327" t="str">
        <f t="shared" si="47"/>
        <v>10.9/0</v>
      </c>
      <c r="G351" s="328"/>
      <c r="H351" s="327" t="str">
        <f t="shared" si="48"/>
        <v>11.2/0</v>
      </c>
      <c r="I351" s="328"/>
      <c r="J351" s="325" t="str">
        <f t="shared" si="44"/>
        <v>11.5/0</v>
      </c>
      <c r="K351" s="326"/>
    </row>
    <row r="352" spans="1:11" x14ac:dyDescent="0.2">
      <c r="A352" s="71">
        <f t="shared" si="45"/>
        <v>0</v>
      </c>
      <c r="B352" s="325" t="str">
        <f t="shared" si="49"/>
        <v>10.3/0</v>
      </c>
      <c r="C352" s="326"/>
      <c r="D352" s="327" t="str">
        <f t="shared" si="46"/>
        <v>10.6/0</v>
      </c>
      <c r="E352" s="328"/>
      <c r="F352" s="327" t="str">
        <f t="shared" si="47"/>
        <v>10.9/0</v>
      </c>
      <c r="G352" s="328"/>
      <c r="H352" s="327" t="str">
        <f t="shared" si="48"/>
        <v>11.2/0</v>
      </c>
      <c r="I352" s="328"/>
      <c r="J352" s="325" t="str">
        <f t="shared" si="44"/>
        <v>11.5/0</v>
      </c>
      <c r="K352" s="326"/>
    </row>
    <row r="353" spans="1:12" x14ac:dyDescent="0.2">
      <c r="A353" s="71">
        <f t="shared" si="45"/>
        <v>0</v>
      </c>
      <c r="B353" s="325" t="str">
        <f t="shared" si="49"/>
        <v>10.3/0</v>
      </c>
      <c r="C353" s="326"/>
      <c r="D353" s="327" t="str">
        <f t="shared" si="46"/>
        <v>10.6/0</v>
      </c>
      <c r="E353" s="328"/>
      <c r="F353" s="327" t="str">
        <f t="shared" si="47"/>
        <v>10.9/0</v>
      </c>
      <c r="G353" s="328"/>
      <c r="H353" s="327" t="str">
        <f t="shared" si="48"/>
        <v>11.2/0</v>
      </c>
      <c r="I353" s="328"/>
      <c r="J353" s="325" t="str">
        <f t="shared" si="44"/>
        <v>11.5/0</v>
      </c>
      <c r="K353" s="326"/>
    </row>
    <row r="354" spans="1:12" x14ac:dyDescent="0.2">
      <c r="A354" s="71">
        <f t="shared" si="45"/>
        <v>0</v>
      </c>
      <c r="B354" s="325" t="str">
        <f t="shared" si="49"/>
        <v>10.3/0</v>
      </c>
      <c r="C354" s="326"/>
      <c r="D354" s="327" t="str">
        <f t="shared" si="46"/>
        <v>10.6/0</v>
      </c>
      <c r="E354" s="328"/>
      <c r="F354" s="327" t="str">
        <f t="shared" si="47"/>
        <v>10.9/0</v>
      </c>
      <c r="G354" s="328"/>
      <c r="H354" s="327" t="str">
        <f t="shared" si="48"/>
        <v>11.2/0</v>
      </c>
      <c r="I354" s="328"/>
      <c r="J354" s="325" t="str">
        <f t="shared" si="44"/>
        <v>11.5/0</v>
      </c>
      <c r="K354" s="326"/>
    </row>
    <row r="355" spans="1:12" x14ac:dyDescent="0.2">
      <c r="A355" s="71">
        <f t="shared" si="45"/>
        <v>0</v>
      </c>
      <c r="B355" s="325" t="str">
        <f t="shared" si="49"/>
        <v>10.3/0</v>
      </c>
      <c r="C355" s="326"/>
      <c r="D355" s="327" t="str">
        <f t="shared" si="46"/>
        <v>10.6/0</v>
      </c>
      <c r="E355" s="328"/>
      <c r="F355" s="327" t="str">
        <f t="shared" si="47"/>
        <v>10.9/0</v>
      </c>
      <c r="G355" s="328"/>
      <c r="H355" s="327" t="str">
        <f t="shared" si="48"/>
        <v>11.2/0</v>
      </c>
      <c r="I355" s="328"/>
      <c r="J355" s="325" t="str">
        <f t="shared" si="44"/>
        <v>11.5/0</v>
      </c>
      <c r="K355" s="326"/>
    </row>
    <row r="356" spans="1:12" x14ac:dyDescent="0.2">
      <c r="A356" s="71">
        <f t="shared" si="45"/>
        <v>0</v>
      </c>
      <c r="B356" s="325" t="str">
        <f t="shared" si="49"/>
        <v>10.3/0</v>
      </c>
      <c r="C356" s="326"/>
      <c r="D356" s="327" t="str">
        <f t="shared" si="46"/>
        <v>10.6/0</v>
      </c>
      <c r="E356" s="328"/>
      <c r="F356" s="327" t="str">
        <f t="shared" si="47"/>
        <v>10.9/0</v>
      </c>
      <c r="G356" s="328"/>
      <c r="H356" s="327" t="str">
        <f t="shared" si="48"/>
        <v>11.2/0</v>
      </c>
      <c r="I356" s="328"/>
      <c r="J356" s="325" t="str">
        <f t="shared" si="44"/>
        <v>11.5/0</v>
      </c>
      <c r="K356" s="326"/>
    </row>
    <row r="357" spans="1:12" x14ac:dyDescent="0.2">
      <c r="A357" s="71">
        <f t="shared" si="45"/>
        <v>0</v>
      </c>
      <c r="B357" s="325" t="str">
        <f t="shared" si="49"/>
        <v>10.3/0</v>
      </c>
      <c r="C357" s="326"/>
      <c r="D357" s="327" t="str">
        <f t="shared" si="46"/>
        <v>10.6/0</v>
      </c>
      <c r="E357" s="328"/>
      <c r="F357" s="327" t="str">
        <f t="shared" si="47"/>
        <v>10.9/0</v>
      </c>
      <c r="G357" s="328"/>
      <c r="H357" s="327" t="str">
        <f t="shared" si="48"/>
        <v>11.2/0</v>
      </c>
      <c r="I357" s="328"/>
      <c r="J357" s="325" t="str">
        <f t="shared" si="44"/>
        <v>11.5/0</v>
      </c>
      <c r="K357" s="326"/>
    </row>
    <row r="358" spans="1:12" x14ac:dyDescent="0.2">
      <c r="A358" s="71">
        <f t="shared" si="45"/>
        <v>0</v>
      </c>
      <c r="B358" s="325" t="str">
        <f t="shared" si="49"/>
        <v>10.3/0</v>
      </c>
      <c r="C358" s="326"/>
      <c r="D358" s="327" t="str">
        <f t="shared" si="46"/>
        <v>10.6/0</v>
      </c>
      <c r="E358" s="328"/>
      <c r="F358" s="327" t="str">
        <f t="shared" si="47"/>
        <v>10.9/0</v>
      </c>
      <c r="G358" s="328"/>
      <c r="H358" s="327" t="str">
        <f t="shared" si="48"/>
        <v>11.2/0</v>
      </c>
      <c r="I358" s="328"/>
      <c r="J358" s="325" t="str">
        <f t="shared" si="44"/>
        <v>11.5/0</v>
      </c>
      <c r="K358" s="326"/>
    </row>
    <row r="359" spans="1:12" x14ac:dyDescent="0.2">
      <c r="A359" s="71">
        <f t="shared" si="45"/>
        <v>0</v>
      </c>
      <c r="B359" s="325" t="str">
        <f t="shared" si="49"/>
        <v>10.3/0</v>
      </c>
      <c r="C359" s="326"/>
      <c r="D359" s="327" t="str">
        <f t="shared" si="46"/>
        <v>10.6/0</v>
      </c>
      <c r="E359" s="328"/>
      <c r="F359" s="327" t="str">
        <f t="shared" si="47"/>
        <v>10.9/0</v>
      </c>
      <c r="G359" s="328"/>
      <c r="H359" s="327" t="str">
        <f t="shared" si="48"/>
        <v>11.2/0</v>
      </c>
      <c r="I359" s="328"/>
      <c r="J359" s="325" t="str">
        <f t="shared" si="44"/>
        <v>11.5/0</v>
      </c>
      <c r="K359" s="326"/>
    </row>
    <row r="361" spans="1:12" x14ac:dyDescent="0.2">
      <c r="A361" s="69" t="s">
        <v>110</v>
      </c>
      <c r="B361" s="310"/>
      <c r="C361" s="310"/>
      <c r="D361" s="310"/>
      <c r="E361" s="310"/>
      <c r="F361" s="310"/>
      <c r="G361" s="310"/>
      <c r="H361" s="310"/>
      <c r="I361" s="310"/>
      <c r="J361" s="310"/>
      <c r="K361" s="310"/>
    </row>
    <row r="362" spans="1:12" x14ac:dyDescent="0.2">
      <c r="A362" s="71" t="str">
        <f>A336</f>
        <v>Jeffries - PI (AY)</v>
      </c>
      <c r="B362" s="329">
        <f ca="1">ROUND(Request!P8/Worksheet!H238*Worksheet!B309*Worksheet!$B$308+Request!P8/Worksheet!H238*Worksheet!C309*Worksheet!C308,0)</f>
        <v>2854</v>
      </c>
      <c r="C362" s="330"/>
      <c r="D362" s="329">
        <f ca="1">ROUND(Request!Q8/(D309+E309)*Worksheet!D309*Worksheet!D$308+Request!Q8/(D309+E309)*Worksheet!E309*Worksheet!E$308,0)</f>
        <v>3023</v>
      </c>
      <c r="E362" s="330"/>
      <c r="F362" s="329">
        <f ca="1">ROUND(Request!R8/(F309+G309)*Worksheet!F309*Worksheet!F$308+Request!R8/(F309+G309)*Worksheet!G309*Worksheet!G$308,0)</f>
        <v>3199</v>
      </c>
      <c r="G362" s="330"/>
      <c r="H362" s="329" t="e">
        <f ca="1">ROUND(Request!S8/(H309+I309)*Worksheet!H309*Worksheet!H$308+Request!S8/(H309+I309)*Worksheet!I309*Worksheet!I$308,0)</f>
        <v>#DIV/0!</v>
      </c>
      <c r="I362" s="330"/>
      <c r="J362" s="329" t="e">
        <f ca="1">IF(J336=0,"",ROUND(Request!T8/(J309+K309)*Worksheet!J309*Worksheet!J$308+Request!T8/(J309+K309)*Worksheet!K309*Worksheet!K$308,0))</f>
        <v>#DIV/0!</v>
      </c>
      <c r="K362" s="330"/>
    </row>
    <row r="363" spans="1:12" x14ac:dyDescent="0.2">
      <c r="A363" s="71" t="str">
        <f t="shared" ref="A363:A385" si="50">A337</f>
        <v>Jeffries - PI (Summer)</v>
      </c>
      <c r="B363" s="329">
        <f ca="1">ROUND(Request!P9/Worksheet!H239*Worksheet!B310*Worksheet!$B$308+Request!P9/Worksheet!H239*Worksheet!C310*Worksheet!$C$308,0)</f>
        <v>462</v>
      </c>
      <c r="C363" s="330"/>
      <c r="D363" s="329">
        <f ca="1">ROUND(Request!Q9/(D310+E310)*Worksheet!D310*Worksheet!D$308+Request!Q9/(D310+E310)*Worksheet!E310*Worksheet!E$308,0)</f>
        <v>490</v>
      </c>
      <c r="E363" s="330"/>
      <c r="F363" s="329">
        <f ca="1">ROUND(Request!R9/(F310+G310)*Worksheet!F310*Worksheet!F$308+Request!R9/(F310+G310)*Worksheet!G310*Worksheet!G$308,0)</f>
        <v>519</v>
      </c>
      <c r="G363" s="330"/>
      <c r="H363" s="329" t="e">
        <f ca="1">ROUND(Request!S9/(H310+I310)*Worksheet!H310*Worksheet!H$308+Request!S9/(H310+I310)*Worksheet!I310*Worksheet!I$308,0)</f>
        <v>#DIV/0!</v>
      </c>
      <c r="I363" s="330"/>
      <c r="J363" s="329" t="e">
        <f ca="1">IF(J337=0,"",ROUND(Request!T9/(J310+K310)*Worksheet!J310*Worksheet!J$308+Request!T9/(J310+K310)*Worksheet!K310*Worksheet!K$308,0))</f>
        <v>#DIV/0!</v>
      </c>
      <c r="K363" s="330"/>
    </row>
    <row r="364" spans="1:12" x14ac:dyDescent="0.2">
      <c r="A364" s="71">
        <f t="shared" si="50"/>
        <v>0</v>
      </c>
      <c r="B364" s="329" t="e">
        <f ca="1">ROUND(Request!P10/Worksheet!H240*Worksheet!B311*Worksheet!$B$308+Request!P10/Worksheet!H240*Worksheet!C311*Worksheet!$C$308,0)</f>
        <v>#DIV/0!</v>
      </c>
      <c r="C364" s="330"/>
      <c r="D364" s="329" t="e">
        <f ca="1">ROUND(Request!Q10/(D311+E311)*Worksheet!D311*Worksheet!D$308+Request!Q10/(D311+E311)*Worksheet!E311*Worksheet!E$308,0)</f>
        <v>#DIV/0!</v>
      </c>
      <c r="E364" s="330"/>
      <c r="F364" s="329" t="e">
        <f ca="1">ROUND(Request!R10/(F311+G311)*Worksheet!F311*Worksheet!F$308+Request!R10/(F311+G311)*Worksheet!G311*Worksheet!G$308,0)</f>
        <v>#DIV/0!</v>
      </c>
      <c r="G364" s="330"/>
      <c r="H364" s="329" t="e">
        <f ca="1">ROUND(Request!S10/(H311+I311)*Worksheet!H311*Worksheet!H$308+Request!S10/(H311+I311)*Worksheet!I311*Worksheet!I$308,0)</f>
        <v>#DIV/0!</v>
      </c>
      <c r="I364" s="330"/>
      <c r="J364" s="329" t="e">
        <f ca="1">IF(J338=0,"",ROUND(Request!T10/(J311+K311)*Worksheet!J311*Worksheet!J$308+Request!T10/(J311+K311)*Worksheet!K311*Worksheet!K$308,0))</f>
        <v>#DIV/0!</v>
      </c>
      <c r="K364" s="330"/>
    </row>
    <row r="365" spans="1:12" x14ac:dyDescent="0.2">
      <c r="A365" s="71">
        <f t="shared" si="50"/>
        <v>0</v>
      </c>
      <c r="B365" s="329" t="e">
        <f ca="1">ROUND(Request!P11/Worksheet!H241*Worksheet!B312*Worksheet!$B$308+Request!P11/Worksheet!H241*Worksheet!C312*Worksheet!$C$308,0)</f>
        <v>#DIV/0!</v>
      </c>
      <c r="C365" s="330"/>
      <c r="D365" s="329" t="e">
        <f ca="1">ROUND(Request!Q11/(D312+E312)*Worksheet!D312*Worksheet!D$308+Request!Q11/(D312+E312)*Worksheet!E312*Worksheet!E$308,0)</f>
        <v>#DIV/0!</v>
      </c>
      <c r="E365" s="330"/>
      <c r="F365" s="329" t="e">
        <f ca="1">ROUND(Request!R11/(F312+G312)*Worksheet!F312*Worksheet!F$308+Request!R11/(F312+G312)*Worksheet!G312*Worksheet!G$308,0)</f>
        <v>#DIV/0!</v>
      </c>
      <c r="G365" s="330"/>
      <c r="H365" s="329" t="e">
        <f ca="1">ROUND(Request!S11/(H312+I312)*Worksheet!H312*Worksheet!H$308+Request!S11/(H312+I312)*Worksheet!I312*Worksheet!I$308,0)</f>
        <v>#DIV/0!</v>
      </c>
      <c r="I365" s="330"/>
      <c r="J365" s="329" t="e">
        <f ca="1">IF(J339=0,"",ROUND(Request!T11/(J312+K312)*Worksheet!J312*Worksheet!J$308+Request!T11/(J312+K312)*Worksheet!K312*Worksheet!K$308,0))</f>
        <v>#DIV/0!</v>
      </c>
      <c r="K365" s="330"/>
    </row>
    <row r="366" spans="1:12" x14ac:dyDescent="0.2">
      <c r="A366" s="71">
        <f t="shared" si="50"/>
        <v>0</v>
      </c>
      <c r="B366" s="329">
        <f>IF((B313+C313)&lt;&gt;0,ROUND(Request!P12/Worksheet!H242*Worksheet!B313*Worksheet!$B$308+Request!P12/Worksheet!H242*Worksheet!C313*Worksheet!$C$308,0),0)</f>
        <v>0</v>
      </c>
      <c r="C366" s="330"/>
      <c r="D366" s="329" t="e">
        <f ca="1">ROUND(Request!Q12/(D313+E313)*Worksheet!D313*Worksheet!D$308+Request!Q12/(D313+E313)*Worksheet!E313*Worksheet!E$308,0)</f>
        <v>#DIV/0!</v>
      </c>
      <c r="E366" s="330"/>
      <c r="F366" s="329" t="e">
        <f ca="1">ROUND(Request!R12/(F313+G313)*Worksheet!F313*Worksheet!F$308+Request!R12/(F313+G313)*Worksheet!G313*Worksheet!G$308,0)</f>
        <v>#DIV/0!</v>
      </c>
      <c r="G366" s="330"/>
      <c r="H366" s="329" t="e">
        <f ca="1">ROUND(Request!S12/(H313+I313)*Worksheet!H313*Worksheet!H$308+Request!S12/(H313+I313)*Worksheet!I313*Worksheet!I$308,0)</f>
        <v>#DIV/0!</v>
      </c>
      <c r="I366" s="330"/>
      <c r="J366" s="329" t="e">
        <f ca="1">IF(J340=0,"",ROUND(Request!T12/(J313+K313)*Worksheet!J313*Worksheet!J$308+Request!T12/(J313+K313)*Worksheet!K313*Worksheet!K$308,0))</f>
        <v>#DIV/0!</v>
      </c>
      <c r="K366" s="330"/>
      <c r="L366" s="16"/>
    </row>
    <row r="367" spans="1:12" x14ac:dyDescent="0.2">
      <c r="A367" s="71">
        <f t="shared" si="50"/>
        <v>0</v>
      </c>
      <c r="B367" s="329">
        <f>IF((B314+C314)&lt;&gt;0,ROUND(Request!P13/Worksheet!H243*Worksheet!B314*Worksheet!$B$308+Request!P13/Worksheet!H243*Worksheet!C314*Worksheet!$C$308,0),0)</f>
        <v>0</v>
      </c>
      <c r="C367" s="330"/>
      <c r="D367" s="329" t="e">
        <f ca="1">ROUND(Request!Q13/(D314+E314)*Worksheet!D314*Worksheet!D$308+Request!Q13/(D314+E314)*Worksheet!E314*Worksheet!E$308,0)</f>
        <v>#DIV/0!</v>
      </c>
      <c r="E367" s="330"/>
      <c r="F367" s="329" t="e">
        <f ca="1">ROUND(Request!R13/(F314+G314)*Worksheet!F314*Worksheet!F$308+Request!R13/(F314+G314)*Worksheet!G314*Worksheet!G$308,0)</f>
        <v>#DIV/0!</v>
      </c>
      <c r="G367" s="330"/>
      <c r="H367" s="329" t="e">
        <f ca="1">ROUND(Request!S13/(H314+I314)*Worksheet!H314*Worksheet!H$308+Request!S13/(H314+I314)*Worksheet!I314*Worksheet!I$308,0)</f>
        <v>#DIV/0!</v>
      </c>
      <c r="I367" s="330"/>
      <c r="J367" s="329" t="e">
        <f ca="1">IF(J341=0,"",ROUND(Request!T13/(J314+K314)*Worksheet!J314*Worksheet!J$308+Request!T13/(J314+K314)*Worksheet!K314*Worksheet!K$308,0))</f>
        <v>#DIV/0!</v>
      </c>
      <c r="K367" s="330"/>
    </row>
    <row r="368" spans="1:12" x14ac:dyDescent="0.2">
      <c r="A368" s="71">
        <f t="shared" si="50"/>
        <v>0</v>
      </c>
      <c r="B368" s="329">
        <f>IF((B315+C315)&lt;&gt;0,ROUND(Request!P14/Worksheet!H244*Worksheet!B315*Worksheet!$B$308+Request!P14/Worksheet!H244*Worksheet!C315*Worksheet!$C$308,0),0)</f>
        <v>0</v>
      </c>
      <c r="C368" s="330"/>
      <c r="D368" s="329" t="e">
        <f ca="1">ROUND(Request!Q14/(D315+E315)*Worksheet!D315*Worksheet!D$308+Request!Q14/(D315+E315)*Worksheet!E315*Worksheet!E$308,0)</f>
        <v>#DIV/0!</v>
      </c>
      <c r="E368" s="330"/>
      <c r="F368" s="329" t="e">
        <f ca="1">ROUND(Request!R14/(F315+G315)*Worksheet!F315*Worksheet!F$308+Request!R14/(F315+G315)*Worksheet!G315*Worksheet!G$308,0)</f>
        <v>#DIV/0!</v>
      </c>
      <c r="G368" s="330"/>
      <c r="H368" s="329" t="e">
        <f ca="1">ROUND(Request!S14/(H315+I315)*Worksheet!H315*Worksheet!H$308+Request!S14/(H315+I315)*Worksheet!I315*Worksheet!I$308,0)</f>
        <v>#DIV/0!</v>
      </c>
      <c r="I368" s="330"/>
      <c r="J368" s="329" t="e">
        <f ca="1">IF(J342=0,"",ROUND(Request!T14/(J315+K315)*Worksheet!J315*Worksheet!J$308+Request!T14/(J315+K315)*Worksheet!K315*Worksheet!K$308,0))</f>
        <v>#DIV/0!</v>
      </c>
      <c r="K368" s="330"/>
    </row>
    <row r="369" spans="1:11" x14ac:dyDescent="0.2">
      <c r="A369" s="71">
        <f t="shared" si="50"/>
        <v>0</v>
      </c>
      <c r="B369" s="329">
        <f>IF((B316+C316)&lt;&gt;0,ROUND(Request!P15/Worksheet!H245*Worksheet!B316*Worksheet!$B$308+Request!P15/Worksheet!H245*Worksheet!C316*Worksheet!$C$308,0),0)</f>
        <v>0</v>
      </c>
      <c r="C369" s="330"/>
      <c r="D369" s="329" t="e">
        <f ca="1">ROUND(Request!Q15/(D316+E316)*Worksheet!D316*Worksheet!D$308+Request!Q15/(D316+E316)*Worksheet!E316*Worksheet!E$308,0)</f>
        <v>#DIV/0!</v>
      </c>
      <c r="E369" s="330"/>
      <c r="F369" s="329" t="e">
        <f ca="1">ROUND(Request!R15/(F316+G316)*Worksheet!F316*Worksheet!F$308+Request!R15/(F316+G316)*Worksheet!G316*Worksheet!G$308,0)</f>
        <v>#DIV/0!</v>
      </c>
      <c r="G369" s="330"/>
      <c r="H369" s="329" t="e">
        <f ca="1">ROUND(Request!S15/(H316+I316)*Worksheet!H316*Worksheet!H$308+Request!S15/(H316+I316)*Worksheet!I316*Worksheet!I$308,0)</f>
        <v>#DIV/0!</v>
      </c>
      <c r="I369" s="330"/>
      <c r="J369" s="329" t="e">
        <f ca="1">IF(J343=0,"",ROUND(Request!T15/(J316+K316)*Worksheet!J316*Worksheet!J$308+Request!T15/(J316+K316)*Worksheet!K316*Worksheet!K$308,0))</f>
        <v>#DIV/0!</v>
      </c>
      <c r="K369" s="330"/>
    </row>
    <row r="370" spans="1:11" x14ac:dyDescent="0.2">
      <c r="A370" s="71">
        <f t="shared" si="50"/>
        <v>0</v>
      </c>
      <c r="B370" s="329">
        <f>IF((B317+C317)&lt;&gt;0,ROUND(Request!P16/Worksheet!H246*Worksheet!B317*Worksheet!$B$308+Request!P16/Worksheet!H246*Worksheet!C317*Worksheet!$C$308,0),0)</f>
        <v>0</v>
      </c>
      <c r="C370" s="330"/>
      <c r="D370" s="329" t="e">
        <f ca="1">ROUND(Request!Q16/(D317+E317)*Worksheet!D317*Worksheet!D$308+Request!Q16/(D317+E317)*Worksheet!E317*Worksheet!E$308,0)</f>
        <v>#DIV/0!</v>
      </c>
      <c r="E370" s="330"/>
      <c r="F370" s="329" t="e">
        <f ca="1">ROUND(Request!R16/(F317+G317)*Worksheet!F317*Worksheet!F$308+Request!R16/(F317+G317)*Worksheet!G317*Worksheet!G$308,0)</f>
        <v>#DIV/0!</v>
      </c>
      <c r="G370" s="330"/>
      <c r="H370" s="329" t="e">
        <f ca="1">ROUND(Request!S16/(H317+I317)*Worksheet!H317*Worksheet!H$308+Request!S16/(H317+I317)*Worksheet!I317*Worksheet!I$308,0)</f>
        <v>#DIV/0!</v>
      </c>
      <c r="I370" s="330"/>
      <c r="J370" s="329" t="e">
        <f ca="1">IF(J344=0,"",ROUND(Request!T16/(J317+K317)*Worksheet!J317*Worksheet!J$308+Request!T16/(J317+K317)*Worksheet!K317*Worksheet!K$308,0))</f>
        <v>#DIV/0!</v>
      </c>
      <c r="K370" s="330"/>
    </row>
    <row r="371" spans="1:11" x14ac:dyDescent="0.2">
      <c r="A371" s="71">
        <f t="shared" si="50"/>
        <v>0</v>
      </c>
      <c r="B371" s="329">
        <f>IF((B318+C318)&lt;&gt;0,ROUND(Request!P17/Worksheet!H247*Worksheet!B318*Worksheet!$B$308+Request!P17/Worksheet!H247*Worksheet!C318*Worksheet!$C$308,0),0)</f>
        <v>0</v>
      </c>
      <c r="C371" s="330"/>
      <c r="D371" s="329" t="e">
        <f ca="1">ROUND(Request!Q17/(D318+E318)*Worksheet!D318*Worksheet!D$308+Request!Q17/(D318+E318)*Worksheet!E318*Worksheet!E$308,0)</f>
        <v>#DIV/0!</v>
      </c>
      <c r="E371" s="330"/>
      <c r="F371" s="329" t="e">
        <f ca="1">ROUND(Request!R17/(F318+G318)*Worksheet!F318*Worksheet!F$308+Request!R17/(F318+G318)*Worksheet!G318*Worksheet!G$308,0)</f>
        <v>#DIV/0!</v>
      </c>
      <c r="G371" s="330"/>
      <c r="H371" s="329" t="e">
        <f ca="1">ROUND(Request!S17/(H318+I318)*Worksheet!H318*Worksheet!H$308+Request!S17/(H318+I318)*Worksheet!I318*Worksheet!I$308,0)</f>
        <v>#DIV/0!</v>
      </c>
      <c r="I371" s="330"/>
      <c r="J371" s="329" t="e">
        <f ca="1">IF(J345=0,"",ROUND(Request!T17/(J318+K318)*Worksheet!J318*Worksheet!J$308+Request!T17/(J318+K318)*Worksheet!K318*Worksheet!K$308,0))</f>
        <v>#DIV/0!</v>
      </c>
      <c r="K371" s="330"/>
    </row>
    <row r="372" spans="1:11" x14ac:dyDescent="0.2">
      <c r="A372" s="71">
        <f t="shared" si="50"/>
        <v>0</v>
      </c>
      <c r="B372" s="329">
        <f>IF((B319+C319)&lt;&gt;0,ROUND(Request!P18/Worksheet!H248*Worksheet!B319*Worksheet!$B$308+Request!P18/Worksheet!H248*Worksheet!C319*Worksheet!$C$308,0),0)</f>
        <v>0</v>
      </c>
      <c r="C372" s="330"/>
      <c r="D372" s="329" t="e">
        <f ca="1">ROUND(Request!Q18/(D319+E319)*Worksheet!D319*Worksheet!D$308+Request!Q18/(D319+E319)*Worksheet!E319*Worksheet!E$308,0)</f>
        <v>#DIV/0!</v>
      </c>
      <c r="E372" s="330"/>
      <c r="F372" s="329" t="e">
        <f ca="1">ROUND(Request!R18/(F319+G319)*Worksheet!F319*Worksheet!F$308+Request!R18/(F319+G319)*Worksheet!G319*Worksheet!G$308,0)</f>
        <v>#DIV/0!</v>
      </c>
      <c r="G372" s="330"/>
      <c r="H372" s="329" t="e">
        <f ca="1">ROUND(Request!S18/(H319+I319)*Worksheet!H319*Worksheet!H$308+Request!S18/(H319+I319)*Worksheet!I319*Worksheet!I$308,0)</f>
        <v>#DIV/0!</v>
      </c>
      <c r="I372" s="330"/>
      <c r="J372" s="329" t="e">
        <f ca="1">IF(J346=0,"",ROUND(Request!T18/(J319+K319)*Worksheet!J319*Worksheet!J$308+Request!T18/(J319+K319)*Worksheet!K319*Worksheet!K$308,0))</f>
        <v>#DIV/0!</v>
      </c>
      <c r="K372" s="330"/>
    </row>
    <row r="373" spans="1:11" x14ac:dyDescent="0.2">
      <c r="A373" s="71">
        <f t="shared" si="50"/>
        <v>0</v>
      </c>
      <c r="B373" s="329">
        <f>IF((B320+C320)&lt;&gt;0,ROUND(Request!P19/Worksheet!H249*Worksheet!B320*Worksheet!$B$308+Request!P19/Worksheet!H249*Worksheet!C320*Worksheet!$C$308,0),0)</f>
        <v>0</v>
      </c>
      <c r="C373" s="330"/>
      <c r="D373" s="329" t="e">
        <f ca="1">ROUND(Request!Q19/(D320+E320)*Worksheet!D320*Worksheet!D$308+Request!Q19/(D320+E320)*Worksheet!E320*Worksheet!E$308,0)</f>
        <v>#DIV/0!</v>
      </c>
      <c r="E373" s="330"/>
      <c r="F373" s="329" t="e">
        <f ca="1">ROUND(Request!R19/(F320+G320)*Worksheet!F320*Worksheet!F$308+Request!R19/(F320+G320)*Worksheet!G320*Worksheet!G$308,0)</f>
        <v>#DIV/0!</v>
      </c>
      <c r="G373" s="330"/>
      <c r="H373" s="329" t="e">
        <f ca="1">ROUND(Request!S19/(H320+I320)*Worksheet!H320*Worksheet!H$308+Request!S19/(H320+I320)*Worksheet!I320*Worksheet!I$308,0)</f>
        <v>#DIV/0!</v>
      </c>
      <c r="I373" s="330"/>
      <c r="J373" s="329" t="e">
        <f ca="1">IF(J347=0,"",ROUND(Request!T19/(J320+K320)*Worksheet!J320*Worksheet!J$308+Request!T19/(J320+K320)*Worksheet!K320*Worksheet!K$308,0))</f>
        <v>#DIV/0!</v>
      </c>
      <c r="K373" s="330"/>
    </row>
    <row r="374" spans="1:11" x14ac:dyDescent="0.2">
      <c r="A374" s="71">
        <f t="shared" si="50"/>
        <v>0</v>
      </c>
      <c r="B374" s="329">
        <f>IF((B321+C321)&lt;&gt;0,ROUND(Request!P20/Worksheet!H250*Worksheet!B321*Worksheet!$B$308+Request!P20/Worksheet!H250*Worksheet!C321*Worksheet!$C$308,0),0)</f>
        <v>0</v>
      </c>
      <c r="C374" s="330"/>
      <c r="D374" s="329" t="e">
        <f ca="1">ROUND(Request!Q20/(D321+E321)*Worksheet!D321*Worksheet!D$308+Request!Q20/(D321+E321)*Worksheet!E321*Worksheet!E$308,0)</f>
        <v>#DIV/0!</v>
      </c>
      <c r="E374" s="330"/>
      <c r="F374" s="329" t="e">
        <f ca="1">ROUND(Request!R20/(F321+G321)*Worksheet!F321*Worksheet!F$308+Request!R20/(F321+G321)*Worksheet!G321*Worksheet!G$308,0)</f>
        <v>#DIV/0!</v>
      </c>
      <c r="G374" s="330"/>
      <c r="H374" s="329" t="e">
        <f ca="1">ROUND(Request!S20/(H321+I321)*Worksheet!H321*Worksheet!H$308+Request!S20/(H321+I321)*Worksheet!I321*Worksheet!I$308,0)</f>
        <v>#DIV/0!</v>
      </c>
      <c r="I374" s="330"/>
      <c r="J374" s="329" t="e">
        <f ca="1">IF(J348=0,"",ROUND(Request!T20/(J321+K321)*Worksheet!J321*Worksheet!J$308+Request!T20/(J321+K321)*Worksheet!K321*Worksheet!K$308,0))</f>
        <v>#DIV/0!</v>
      </c>
      <c r="K374" s="330"/>
    </row>
    <row r="375" spans="1:11" x14ac:dyDescent="0.2">
      <c r="A375" s="71">
        <f t="shared" si="50"/>
        <v>0</v>
      </c>
      <c r="B375" s="329">
        <f>IF((B322+C322)&lt;&gt;0,ROUND(Request!P21/Worksheet!H251*Worksheet!B322*Worksheet!$B$308+Request!P21/Worksheet!H251*Worksheet!C322*Worksheet!$C$308,0),0)</f>
        <v>0</v>
      </c>
      <c r="C375" s="330"/>
      <c r="D375" s="329" t="e">
        <f ca="1">ROUND(Request!Q21/(D322+E322)*Worksheet!D322*Worksheet!D$308+Request!Q21/(D322+E322)*Worksheet!E322*Worksheet!E$308,0)</f>
        <v>#DIV/0!</v>
      </c>
      <c r="E375" s="330"/>
      <c r="F375" s="329" t="e">
        <f ca="1">ROUND(Request!R21/(F322+G322)*Worksheet!F322*Worksheet!F$308+Request!R21/(F322+G322)*Worksheet!G322*Worksheet!G$308,0)</f>
        <v>#DIV/0!</v>
      </c>
      <c r="G375" s="330"/>
      <c r="H375" s="329" t="e">
        <f ca="1">ROUND(Request!S21/(H322+I322)*Worksheet!H322*Worksheet!H$308+Request!S21/(H322+I322)*Worksheet!I322*Worksheet!I$308,0)</f>
        <v>#DIV/0!</v>
      </c>
      <c r="I375" s="330"/>
      <c r="J375" s="329" t="e">
        <f ca="1">IF(J349=0,"",ROUND(Request!T21/(J322+K322)*Worksheet!J322*Worksheet!J$308+Request!T21/(J322+K322)*Worksheet!K322*Worksheet!K$308,0))</f>
        <v>#DIV/0!</v>
      </c>
      <c r="K375" s="330"/>
    </row>
    <row r="376" spans="1:11" x14ac:dyDescent="0.2">
      <c r="A376" s="71">
        <f t="shared" si="50"/>
        <v>0</v>
      </c>
      <c r="B376" s="329">
        <f>IF((B323+C323)&lt;&gt;0,ROUND(Request!P22/Worksheet!H252*Worksheet!B323*Worksheet!$B$308+Request!P22/Worksheet!H252*Worksheet!C323*Worksheet!$C$308,0),0)</f>
        <v>0</v>
      </c>
      <c r="C376" s="330"/>
      <c r="D376" s="329" t="e">
        <f ca="1">ROUND(Request!Q22/(D323+E323)*Worksheet!D323*Worksheet!D$308+Request!Q22/(D323+E323)*Worksheet!E323*Worksheet!E$308,0)</f>
        <v>#DIV/0!</v>
      </c>
      <c r="E376" s="330"/>
      <c r="F376" s="329" t="e">
        <f ca="1">ROUND(Request!R22/(F323+G323)*Worksheet!F323*Worksheet!F$308+Request!R22/(F323+G323)*Worksheet!G323*Worksheet!G$308,0)</f>
        <v>#DIV/0!</v>
      </c>
      <c r="G376" s="330"/>
      <c r="H376" s="329" t="e">
        <f ca="1">ROUND(Request!S22/(H323+I323)*Worksheet!H323*Worksheet!H$308+Request!S22/(H323+I323)*Worksheet!I323*Worksheet!I$308,0)</f>
        <v>#DIV/0!</v>
      </c>
      <c r="I376" s="330"/>
      <c r="J376" s="329" t="e">
        <f ca="1">IF(J350=0,"",ROUND(Request!T22/(J323+K323)*Worksheet!J323*Worksheet!J$308+Request!T22/(J323+K323)*Worksheet!K323*Worksheet!K$308,0))</f>
        <v>#DIV/0!</v>
      </c>
      <c r="K376" s="330"/>
    </row>
    <row r="377" spans="1:11" x14ac:dyDescent="0.2">
      <c r="A377" s="71">
        <f t="shared" si="50"/>
        <v>0</v>
      </c>
      <c r="B377" s="329">
        <f>IF((B324+C324)&lt;&gt;0,ROUND(Request!P23/Worksheet!H253*Worksheet!B324*Worksheet!$B$308+Request!P23/Worksheet!H253*Worksheet!C324*Worksheet!$C$308,0),0)</f>
        <v>0</v>
      </c>
      <c r="C377" s="330"/>
      <c r="D377" s="329" t="e">
        <f ca="1">ROUND(Request!Q23/(D324+E324)*Worksheet!D324*Worksheet!D$308+Request!Q23/(D324+E324)*Worksheet!E324*Worksheet!E$308,0)</f>
        <v>#DIV/0!</v>
      </c>
      <c r="E377" s="330"/>
      <c r="F377" s="329" t="e">
        <f ca="1">ROUND(Request!R23/(F324+G324)*Worksheet!F324*Worksheet!F$308+Request!R23/(F324+G324)*Worksheet!G324*Worksheet!G$308,0)</f>
        <v>#DIV/0!</v>
      </c>
      <c r="G377" s="330"/>
      <c r="H377" s="329" t="e">
        <f ca="1">ROUND(Request!S23/(H324+I324)*Worksheet!H324*Worksheet!H$308+Request!S23/(H324+I324)*Worksheet!I324*Worksheet!I$308,0)</f>
        <v>#DIV/0!</v>
      </c>
      <c r="I377" s="330"/>
      <c r="J377" s="329" t="e">
        <f ca="1">IF(J351=0,"",ROUND(Request!T23/(J324+K324)*Worksheet!J324*Worksheet!J$308+Request!T23/(J324+K324)*Worksheet!K324*Worksheet!K$308,0))</f>
        <v>#DIV/0!</v>
      </c>
      <c r="K377" s="330"/>
    </row>
    <row r="378" spans="1:11" x14ac:dyDescent="0.2">
      <c r="A378" s="71">
        <f t="shared" si="50"/>
        <v>0</v>
      </c>
      <c r="B378" s="329">
        <f>IF((B325+C325)&lt;&gt;0,ROUND(Request!P24/Worksheet!H254*Worksheet!B325*Worksheet!$B$308+Request!P24/Worksheet!H254*Worksheet!C325*Worksheet!$C$308,0),0)</f>
        <v>0</v>
      </c>
      <c r="C378" s="330"/>
      <c r="D378" s="329" t="e">
        <f ca="1">ROUND(Request!Q24/(D325+E325)*Worksheet!D325*Worksheet!D$308+Request!Q24/(D325+E325)*Worksheet!E325*Worksheet!E$308,0)</f>
        <v>#DIV/0!</v>
      </c>
      <c r="E378" s="330"/>
      <c r="F378" s="329" t="e">
        <f ca="1">ROUND(Request!R24/(F325+G325)*Worksheet!F325*Worksheet!F$308+Request!R24/(F325+G325)*Worksheet!G325*Worksheet!G$308,0)</f>
        <v>#DIV/0!</v>
      </c>
      <c r="G378" s="330"/>
      <c r="H378" s="329" t="e">
        <f ca="1">ROUND(Request!S24/(H325+I325)*Worksheet!H325*Worksheet!H$308+Request!S24/(H325+I325)*Worksheet!I325*Worksheet!I$308,0)</f>
        <v>#DIV/0!</v>
      </c>
      <c r="I378" s="330"/>
      <c r="J378" s="329" t="e">
        <f ca="1">IF(J352=0,"",ROUND(Request!T24/(J325+K325)*Worksheet!J325*Worksheet!J$308+Request!T24/(J325+K325)*Worksheet!K325*Worksheet!K$308,0))</f>
        <v>#DIV/0!</v>
      </c>
      <c r="K378" s="330"/>
    </row>
    <row r="379" spans="1:11" x14ac:dyDescent="0.2">
      <c r="A379" s="71">
        <f t="shared" si="50"/>
        <v>0</v>
      </c>
      <c r="B379" s="329">
        <f>IF((B326+C326)&lt;&gt;0,ROUND(Request!P25/Worksheet!H255*Worksheet!B326*Worksheet!$B$308+Request!P25/Worksheet!H255*Worksheet!C326*Worksheet!$C$308,0),0)</f>
        <v>0</v>
      </c>
      <c r="C379" s="330"/>
      <c r="D379" s="329" t="e">
        <f ca="1">ROUND(Request!Q25/(D326+E326)*Worksheet!D326*Worksheet!D$308+Request!Q25/(D326+E326)*Worksheet!E326*Worksheet!E$308,0)</f>
        <v>#DIV/0!</v>
      </c>
      <c r="E379" s="330"/>
      <c r="F379" s="329" t="e">
        <f ca="1">ROUND(Request!R25/(F326+G326)*Worksheet!F326*Worksheet!F$308+Request!R25/(F326+G326)*Worksheet!G326*Worksheet!G$308,0)</f>
        <v>#DIV/0!</v>
      </c>
      <c r="G379" s="330"/>
      <c r="H379" s="329" t="e">
        <f ca="1">ROUND(Request!S25/(H326+I326)*Worksheet!H326*Worksheet!H$308+Request!S25/(H326+I326)*Worksheet!I326*Worksheet!I$308,0)</f>
        <v>#DIV/0!</v>
      </c>
      <c r="I379" s="330"/>
      <c r="J379" s="329" t="e">
        <f ca="1">IF(J353=0,"",ROUND(Request!T25/(J326+K326)*Worksheet!J326*Worksheet!J$308+Request!T25/(J326+K326)*Worksheet!K326*Worksheet!K$308,0))</f>
        <v>#DIV/0!</v>
      </c>
      <c r="K379" s="330"/>
    </row>
    <row r="380" spans="1:11" x14ac:dyDescent="0.2">
      <c r="A380" s="71">
        <f t="shared" si="50"/>
        <v>0</v>
      </c>
      <c r="B380" s="329">
        <f>IF((B327+C327)&lt;&gt;0,ROUND(Request!P26/Worksheet!H256*Worksheet!B327*Worksheet!$B$308+Request!P26/Worksheet!H256*Worksheet!C327*Worksheet!$C$308,0),0)</f>
        <v>0</v>
      </c>
      <c r="C380" s="330"/>
      <c r="D380" s="329" t="e">
        <f ca="1">ROUND(Request!Q26/(D327+E327)*Worksheet!D327*Worksheet!D$308+Request!Q26/(D327+E327)*Worksheet!E327*Worksheet!E$308,0)</f>
        <v>#DIV/0!</v>
      </c>
      <c r="E380" s="330"/>
      <c r="F380" s="329" t="e">
        <f ca="1">ROUND(Request!R26/(F327+G327)*Worksheet!F327*Worksheet!F$308+Request!R26/(F327+G327)*Worksheet!G327*Worksheet!G$308,0)</f>
        <v>#DIV/0!</v>
      </c>
      <c r="G380" s="330"/>
      <c r="H380" s="329" t="e">
        <f ca="1">ROUND(Request!S26/(H327+I327)*Worksheet!H327*Worksheet!H$308+Request!S26/(H327+I327)*Worksheet!I327*Worksheet!I$308,0)</f>
        <v>#DIV/0!</v>
      </c>
      <c r="I380" s="330"/>
      <c r="J380" s="329" t="e">
        <f ca="1">IF(J354=0,"",ROUND(Request!T26/(J327+K327)*Worksheet!J327*Worksheet!J$308+Request!T26/(J327+K327)*Worksheet!K327*Worksheet!K$308,0))</f>
        <v>#DIV/0!</v>
      </c>
      <c r="K380" s="330"/>
    </row>
    <row r="381" spans="1:11" x14ac:dyDescent="0.2">
      <c r="A381" s="71">
        <f t="shared" si="50"/>
        <v>0</v>
      </c>
      <c r="B381" s="329">
        <f>IF((B328+C328)&lt;&gt;0,ROUND(Request!P27/Worksheet!H257*Worksheet!B328*Worksheet!$B$308+Request!P27/Worksheet!H257*Worksheet!C328*Worksheet!$C$308,0),0)</f>
        <v>0</v>
      </c>
      <c r="C381" s="330"/>
      <c r="D381" s="329" t="e">
        <f ca="1">ROUND(Request!Q27/(D328+E328)*Worksheet!D328*Worksheet!D$308+Request!Q27/(D328+E328)*Worksheet!E328*Worksheet!E$308,0)</f>
        <v>#DIV/0!</v>
      </c>
      <c r="E381" s="330"/>
      <c r="F381" s="329" t="e">
        <f ca="1">ROUND(Request!R27/(F328+G328)*Worksheet!F328*Worksheet!F$308+Request!R27/(F328+G328)*Worksheet!G328*Worksheet!G$308,0)</f>
        <v>#DIV/0!</v>
      </c>
      <c r="G381" s="330"/>
      <c r="H381" s="329" t="e">
        <f ca="1">ROUND(Request!S27/(H328+I328)*Worksheet!H328*Worksheet!H$308+Request!S27/(H328+I328)*Worksheet!I328*Worksheet!I$308,0)</f>
        <v>#DIV/0!</v>
      </c>
      <c r="I381" s="330"/>
      <c r="J381" s="329" t="e">
        <f ca="1">IF(J355=0,"",ROUND(Request!T27/(J328+K328)*Worksheet!J328*Worksheet!J$308+Request!T27/(J328+K328)*Worksheet!K328*Worksheet!K$308,0))</f>
        <v>#DIV/0!</v>
      </c>
      <c r="K381" s="330"/>
    </row>
    <row r="382" spans="1:11" x14ac:dyDescent="0.2">
      <c r="A382" s="71">
        <f t="shared" si="50"/>
        <v>0</v>
      </c>
      <c r="B382" s="329">
        <f>IF((B329+C329)&lt;&gt;0,ROUND(Request!P28/Worksheet!H258*Worksheet!B329*Worksheet!$B$308+Request!P28/Worksheet!H258*Worksheet!C329*Worksheet!$C$308,0),0)</f>
        <v>0</v>
      </c>
      <c r="C382" s="330"/>
      <c r="D382" s="329" t="e">
        <f ca="1">ROUND(Request!Q28/(D329+E329)*Worksheet!D329*Worksheet!D$308+Request!Q28/(D329+E329)*Worksheet!E329*Worksheet!E$308,0)</f>
        <v>#DIV/0!</v>
      </c>
      <c r="E382" s="330"/>
      <c r="F382" s="329" t="e">
        <f ca="1">ROUND(Request!R28/(F329+G329)*Worksheet!F329*Worksheet!F$308+Request!R28/(F329+G329)*Worksheet!G329*Worksheet!G$308,0)</f>
        <v>#DIV/0!</v>
      </c>
      <c r="G382" s="330"/>
      <c r="H382" s="329" t="e">
        <f ca="1">ROUND(Request!S28/(H329+I329)*Worksheet!H329*Worksheet!H$308+Request!S28/(H329+I329)*Worksheet!I329*Worksheet!I$308,0)</f>
        <v>#DIV/0!</v>
      </c>
      <c r="I382" s="330"/>
      <c r="J382" s="329" t="e">
        <f ca="1">IF(J356=0,"",ROUND(Request!T28/(J329+K329)*Worksheet!J329*Worksheet!J$308+Request!T28/(J329+K329)*Worksheet!K329*Worksheet!K$308,0))</f>
        <v>#DIV/0!</v>
      </c>
      <c r="K382" s="330"/>
    </row>
    <row r="383" spans="1:11" x14ac:dyDescent="0.2">
      <c r="A383" s="71">
        <f t="shared" si="50"/>
        <v>0</v>
      </c>
      <c r="B383" s="329">
        <f>IF((B330+C330)&lt;&gt;0,ROUND(Request!P29/Worksheet!H259*Worksheet!B330*Worksheet!$B$308+Request!P29/Worksheet!H259*Worksheet!C330*Worksheet!$C$308,0),0)</f>
        <v>0</v>
      </c>
      <c r="C383" s="330"/>
      <c r="D383" s="329" t="e">
        <f ca="1">ROUND(Request!Q29/(D330+E330)*Worksheet!D330*Worksheet!D$308+Request!Q29/(D330+E330)*Worksheet!E330*Worksheet!E$308,0)</f>
        <v>#DIV/0!</v>
      </c>
      <c r="E383" s="330"/>
      <c r="F383" s="329" t="e">
        <f ca="1">ROUND(Request!R29/(F330+G330)*Worksheet!F330*Worksheet!F$308+Request!R29/(F330+G330)*Worksheet!G330*Worksheet!G$308,0)</f>
        <v>#DIV/0!</v>
      </c>
      <c r="G383" s="330"/>
      <c r="H383" s="329" t="e">
        <f ca="1">ROUND(Request!S29/(H330+I330)*Worksheet!H330*Worksheet!H$308+Request!S29/(H330+I330)*Worksheet!I330*Worksheet!I$308,0)</f>
        <v>#DIV/0!</v>
      </c>
      <c r="I383" s="330"/>
      <c r="J383" s="329" t="e">
        <f ca="1">IF(J357=0,"",ROUND(Request!T29/(J330+K330)*Worksheet!J330*Worksheet!J$308+Request!T29/(J330+K330)*Worksheet!K330*Worksheet!K$308,0))</f>
        <v>#DIV/0!</v>
      </c>
      <c r="K383" s="330"/>
    </row>
    <row r="384" spans="1:11" x14ac:dyDescent="0.2">
      <c r="A384" s="71">
        <f t="shared" si="50"/>
        <v>0</v>
      </c>
      <c r="B384" s="329">
        <f>IF((B331+C331)&lt;&gt;0,ROUND(Request!P30/Worksheet!H260*Worksheet!B331*Worksheet!$B$308+Request!P30/Worksheet!H260*Worksheet!C331*Worksheet!$C$308,0),0)</f>
        <v>0</v>
      </c>
      <c r="C384" s="330"/>
      <c r="D384" s="329" t="e">
        <f ca="1">ROUND(Request!Q30/(D331+E331)*Worksheet!D331*Worksheet!D$308+Request!Q30/(D331+E331)*Worksheet!E331*Worksheet!E$308,0)</f>
        <v>#DIV/0!</v>
      </c>
      <c r="E384" s="330"/>
      <c r="F384" s="329" t="e">
        <f ca="1">ROUND(Request!R30/(F331+G331)*Worksheet!F331*Worksheet!F$308+Request!R30/(F331+G331)*Worksheet!G331*Worksheet!G$308,0)</f>
        <v>#DIV/0!</v>
      </c>
      <c r="G384" s="330"/>
      <c r="H384" s="329" t="e">
        <f ca="1">ROUND(Request!S30/(H331+I331)*Worksheet!H331*Worksheet!H$308+Request!S30/(H331+I331)*Worksheet!I331*Worksheet!I$308,0)</f>
        <v>#DIV/0!</v>
      </c>
      <c r="I384" s="330"/>
      <c r="J384" s="329" t="e">
        <f ca="1">IF(J358=0,"",ROUND(Request!T30/(J331+K331)*Worksheet!J331*Worksheet!J$308+Request!T30/(J331+K331)*Worksheet!K331*Worksheet!K$308,0))</f>
        <v>#DIV/0!</v>
      </c>
      <c r="K384" s="330"/>
    </row>
    <row r="385" spans="1:21" x14ac:dyDescent="0.2">
      <c r="A385" s="71">
        <f t="shared" si="50"/>
        <v>0</v>
      </c>
      <c r="B385" s="329">
        <f>IF((B332+C332)&lt;&gt;0,ROUND(Request!P31/Worksheet!H261*Worksheet!B332*Worksheet!$B$308+Request!P31/Worksheet!H261*Worksheet!C332*Worksheet!$C$308,0),0)</f>
        <v>0</v>
      </c>
      <c r="C385" s="330"/>
      <c r="D385" s="329" t="e">
        <f ca="1">ROUND(Request!Q31/(D332+E332)*Worksheet!D332*Worksheet!D$308+Request!Q31/(D332+E332)*Worksheet!E332*Worksheet!E$308,0)</f>
        <v>#DIV/0!</v>
      </c>
      <c r="E385" s="330"/>
      <c r="F385" s="329" t="e">
        <f ca="1">ROUND(Request!R31/(F332+G332)*Worksheet!F332*Worksheet!F$308+Request!R31/(F332+G332)*Worksheet!G332*Worksheet!G$308,0)</f>
        <v>#DIV/0!</v>
      </c>
      <c r="G385" s="330"/>
      <c r="H385" s="329" t="e">
        <f ca="1">ROUND(Request!S31/(H332+I332)*Worksheet!H332*Worksheet!H$308+Request!S31/(H332+I332)*Worksheet!I332*Worksheet!I$308,0)</f>
        <v>#DIV/0!</v>
      </c>
      <c r="I385" s="330"/>
      <c r="J385" s="329" t="e">
        <f ca="1">IF(J359=0,"",ROUND(Request!T31/(J332+K332)*Worksheet!J332*Worksheet!J$308+Request!T31/(J332+K332)*Worksheet!K332*Worksheet!K$308,0))</f>
        <v>#DIV/0!</v>
      </c>
      <c r="K385" s="330"/>
    </row>
    <row r="387" spans="1:21" x14ac:dyDescent="0.2">
      <c r="S387" s="16"/>
    </row>
    <row r="388" spans="1:21" x14ac:dyDescent="0.2">
      <c r="A388" s="69" t="s">
        <v>157</v>
      </c>
      <c r="B388" s="310" t="s">
        <v>113</v>
      </c>
      <c r="C388" s="310"/>
      <c r="D388" s="310" t="s">
        <v>114</v>
      </c>
      <c r="E388" s="310"/>
      <c r="F388" s="310" t="s">
        <v>115</v>
      </c>
      <c r="G388" s="310"/>
      <c r="H388" s="310" t="s">
        <v>118</v>
      </c>
      <c r="I388" s="310"/>
      <c r="J388" s="310" t="s">
        <v>116</v>
      </c>
      <c r="K388" s="310"/>
      <c r="L388" s="310"/>
      <c r="M388" s="310"/>
      <c r="N388" s="310"/>
      <c r="O388" s="310"/>
      <c r="P388" s="310"/>
      <c r="Q388" s="310"/>
      <c r="R388" s="310"/>
      <c r="S388" s="310"/>
      <c r="T388" s="310"/>
      <c r="U388" s="310"/>
    </row>
    <row r="389" spans="1:21" x14ac:dyDescent="0.2">
      <c r="A389" s="71" t="str">
        <f>'Personnel Reference'!B4</f>
        <v>Jeffries - PI (AY)</v>
      </c>
      <c r="B389" s="329">
        <f ca="1">IF(Worksheet!$C$5=0,"",IF(AND(Request!$U$4="Multi",Request!$T$4="FY"),ROUND(((1+Request!$O8)^Worksheet!$B$20*Worksheet!$C$9+(1+Request!$O8)^(Worksheet!$B$20+1)*Worksheet!$C$10)/(Worksheet!$C$5)*Request!$E8,0),(IF(AND(Request!$U$4="Multi",Request!$T$4="PY"),ROUND(Request!$E8/(Worksheet!$C$5)*Worksheet!$C$5,0),(IF(AND(Request!$U$4&lt;&gt;"Multi",Request!$T$4="FY"),ROUND(((1+Request!$U$4)^Worksheet!$B$20*Worksheet!$C$9+(1+Request!$U$4)^(Worksheet!$B$20+1)*Worksheet!$C$10)/Worksheet!$C$5*Request!$E8,0),ROUND(Request!$E8/Worksheet!$C$5*Worksheet!$C$5,0)))))))</f>
        <v>134625</v>
      </c>
      <c r="C389" s="330"/>
      <c r="D389" s="329">
        <f ca="1">IF(Worksheet!$D$5=0,"",IF($C$4=$D$4,(IF(AND(Request!$U$4="Multi",Request!$T$4="FY"),ROUND(((1+Request!$O8)^(Worksheet!$B$20)*Worksheet!$D$9+(1+Request!$O8)^(Worksheet!$B$20+1)*Worksheet!$D$10)/Worksheet!$D$5*Request!$E8,0),(IF(AND(Request!$U$4="Multi",Request!$T$4="PY"),ROUND(Request!$E8*(1+Request!$O8)/Worksheet!$D$5*Worksheet!$D$5,0),(IF(AND(Request!$U$4&lt;&gt;"Multi",Request!$T$4="FY"),ROUND(((1+Request!$U$4)^(Worksheet!$B$20)*Worksheet!$D$9+(1+Request!$U$4)^(Worksheet!$B$20+1)*Worksheet!$D$10)/Worksheet!$D$5*Request!$E8,0),ROUND(Request!$E8*(1+Request!$U$4)/Worksheet!$D$5*Worksheet!$D$5,0))))))),(IF(AND(Request!$U$4="Multi",Request!$T$4="FY"),ROUND(((1+Request!$O8)^(Worksheet!$B$20+1)*Worksheet!$D$9+(1+Request!$O8)^(Worksheet!$B$20+2)*Worksheet!$D$10)/Worksheet!$D$5*Request!$E8,0),(IF(AND(Request!$U$4="Multi",Request!$T$4="PY"),ROUND(Request!$E8*(1+Request!$O8)/Worksheet!$D$5*Worksheet!$D$5,0),(IF(AND(Request!$U$4&lt;&gt;"Multi",Request!$T$4="FY"),ROUND(((1+Request!$U$4)^(Worksheet!$B$20+1)*Worksheet!$D$9+(1+Request!$U$4)^(Worksheet!$B$20+2)*Worksheet!$D$10)/Worksheet!$D$5*Request!$E8,0),ROUND(Request!$E8*(1+Request!$U$4)/Worksheet!$D$5*Worksheet!$D$5,0)))))))))</f>
        <v>138664</v>
      </c>
      <c r="E389" s="330"/>
      <c r="F389" s="329">
        <f ca="1">IF(Worksheet!$E$5=0,"",IF($C$4=$D$4,(IF(AND(Request!$U$4="Multi",Request!$T$4="FY"),ROUND(((1+Request!$O8)^(Worksheet!$B$20+1)*Worksheet!$E$9+(1+Request!$O8)^(Worksheet!$B$20+3)*Worksheet!$E$10)/Worksheet!$E$5*Request!$E8,0),(IF(AND(Request!$U$4="Multi",Request!$T$4="PY"),ROUND(Request!$E8*((1+Request!$O8)^2)/Worksheet!$E$5*Worksheet!$E$5,0),(IF(AND(Request!$U$4&lt;&gt;"Multi",Request!$T$4="FY"),ROUND(((1+Request!$U$4)^(Worksheet!$B$20+1)*Worksheet!$E$9+(1+Request!$U$4)^(Worksheet!$B$20+2)*Worksheet!$E$10)/Worksheet!$E$5*Request!$E8,0),ROUND(Request!$E8*((1+Request!$U$4)^2)/Worksheet!$E$5*Worksheet!$E$5,0))))))),(IF(AND(Request!$U$4="Multi",Request!$T$4="FY"),ROUND(((1+Request!$O8)^(Worksheet!$B$20+2)*Worksheet!$E$9+(1+Request!$O8)^(Worksheet!$B$20+3)*Worksheet!$E$10)/Worksheet!$E$5*Request!$E8,0),(IF(AND(Request!$U$4="Multi",Request!$T$4="PY"),ROUND(Request!$E8*((1+Request!$O8)^2)/Worksheet!$E$5*Worksheet!$E$5,0),(IF(AND(Request!$U$4&lt;&gt;"Multi",Request!$T$4="FY"),ROUND(((1+Request!$U$4)^(Worksheet!$B$20+2)*Worksheet!$E$9+(1+Request!$U$4)^(Worksheet!$B$20+3)*Worksheet!$E$10)/Worksheet!$E$5*Request!$E8,0),ROUND(Request!$E8*((1+Request!$U$4)^2)/Worksheet!$E$5*Worksheet!$E$5,0)))))))))</f>
        <v>142824</v>
      </c>
      <c r="G389" s="330"/>
      <c r="H389" s="329">
        <f ca="1">IF(Worksheet!$F$5=0,"",IF($C$4=$D$4,(IF(AND(Request!$U$4="Multi",Request!$T$4="FY"),ROUND(((1+Request!$O8)^(Worksheet!$B$20+2)*Worksheet!$F$9+(1+Request!$O8)^(Worksheet!$B$20+3)*Worksheet!$F$10)/Worksheet!$F$5*Request!$E8,0),(IF(AND(Request!$U$4="Multi",Request!$T$4="PY"),ROUND(Request!$E8*((1+Request!$O8)^3)/Worksheet!$F$5*Worksheet!$F$5,0),(IF(AND(Request!$U$4&lt;&gt;"Multi",Request!$T$4="FY"),ROUND(((1+Request!$U$4)^(Worksheet!$B$20+2)*Worksheet!$F$9+(1+Request!$U$4)^(Worksheet!$B$20+3)*Worksheet!$F$10)/Worksheet!$F$5*Request!$E8,0),ROUND(Request!$E8*((1+Request!$U$4)^3)/Worksheet!$F$5*Worksheet!$F$5,0))))))),(IF(AND(Request!$U$4="Multi",Request!$T$4="FY"),ROUND(((1+Request!$O8)^(Worksheet!$B$20+3)*Worksheet!$F$9+(1+Request!$O8)^(Worksheet!$B$20+4)*Worksheet!$F$10)/Worksheet!$F$5*Request!$E8,0),(IF(AND(Request!$U$4="Multi",Request!$T$4="PY"),ROUND(Request!$E8*((1+Request!$O8)^3)/Worksheet!$F$5*Worksheet!$F$5,0),(IF(AND(Request!$U$4&lt;&gt;"Multi",Request!$T$4="FY"),ROUND(((1+Request!$U$4)^(Worksheet!$B$20+3)*Worksheet!$F$9+(1+Request!$U$4)^(Worksheet!$B$20+4)*Worksheet!$F$10)/Worksheet!$F$5*Request!$E8,0),ROUND(Request!$E8*((1+Request!$U$4)^3)/Worksheet!$F$5*Worksheet!$F$5,0)))))))))</f>
        <v>147109</v>
      </c>
      <c r="I389" s="330"/>
      <c r="J389" s="329">
        <f ca="1">IF(Worksheet!$G$5=0,"",IF($C$4=$D$4,(IF(AND(Request!$U$4="Multi",Request!$T$4="FY"),ROUND(((1+Request!$O8)^(Worksheet!$B$20+3)*Worksheet!$G$9+(1+Request!$O8)^(Worksheet!$B$20+4)*Worksheet!$G$10)/Worksheet!$G$5*Request!$E8,0),(IF(AND(Request!$U$4="Multi",Request!$T$4="PY"),ROUND(Request!$E8*((1+Request!$O8)^4)/Worksheet!$G$5*Worksheet!$G$5,0),(IF(AND(Request!$U$4&lt;&gt;"Multi",Request!$T$4="FY"),ROUND(((1+Request!$U$4)^(Worksheet!$B$20+3)*Worksheet!$G$9+(1+Request!$U$4)^(Worksheet!$B$20+4)*Worksheet!$G$10)/Worksheet!$G$5*Request!$E8,0),ROUND(Request!$E8*((1+Request!$U$4)^4)/Worksheet!$G$5*Worksheet!$G$5,0))))))),(IF(AND(Request!$U$4="Multi",Request!$T$4="FY"),ROUND(((1+Request!$O8)^(Worksheet!$B$20+4)*Worksheet!$G$9+(1+Request!$O8)^(Worksheet!$B$20+5)*Worksheet!$G$10)/Worksheet!$G$5*Request!$E8,0),(IF(AND(Request!$U$4="Multi",Request!$T$4="PY"),ROUND(Request!$E8*((1+Request!$O8)^4)/Worksheet!$G$5*Worksheet!$G$5,0),(IF(AND(Request!$U$4&lt;&gt;"Multi",Request!$T$4="FY"),ROUND(((1+Request!$U$4)^(Worksheet!$B$20+4)*Worksheet!$G$9+(1+Request!$U$4)^(Worksheet!$B$20+5)*Worksheet!$G$10)/Worksheet!$G$5*Request!$E8,0),ROUND(Request!$E8*((1+Request!$U$4)^4)/Worksheet!$G$5*Worksheet!$G$5,0)))))))))</f>
        <v>151522</v>
      </c>
      <c r="K389" s="330"/>
      <c r="L389" s="307">
        <f ca="1">IF(Worksheet!$C$5=0,"",IF(AND(Request!$U$4="Multi",Request!$T$4="FY"),ROUND(((1+Request!$O8)^Worksheet!$B$20*Worksheet!$C$9+(1+Request!$O8)^(Worksheet!$B$20+1)*Worksheet!$C$10)/(Worksheet!$C$5)*Request!$G8,0),(IF(AND(Request!$U$4="Multi",Request!$T$4="PY"),ROUND(Request!$G8/(Worksheet!$C$5)*Worksheet!$C$5,0),(IF(AND(Request!$U$4&lt;&gt;"Multi",Request!$T$4="FY"),ROUND(((1+Request!$U$4)^Worksheet!$B$20*Worksheet!$C$9+(1+Request!$U$4)^(Worksheet!$B$20+1)*Worksheet!$C$10)/Worksheet!$C$5*Request!$G8,0),ROUND(Request!$G8/Worksheet!$C$5*Worksheet!$C$5,0)))))))</f>
        <v>179500</v>
      </c>
      <c r="M389" s="307"/>
      <c r="N389" s="307">
        <f ca="1">IF(Worksheet!$D$5=0,"",IF($C$4=$D$4,(IF(AND(Request!$U$4="Multi",Request!$T$4="FY"),ROUND(((1+Request!$O8)^(Worksheet!$B$20)*Worksheet!$D$9+(1+Request!$O8)^(Worksheet!$B$20+1)*Worksheet!$D$10)/Worksheet!$D$5*Request!$G8,0),(IF(AND(Request!$U$4="Multi",Request!$T$4="PY"),ROUND(Request!$G8*(1+Request!$O8)/Worksheet!$D$5*Worksheet!$D$5,0),(IF(AND(Request!$U$4&lt;&gt;"Multi",Request!$T$4="FY"),ROUND(((1+Request!$U$4)^(Worksheet!$B$20)*Worksheet!$D$9+(1+Request!$U$4)^(Worksheet!$B$20+1)*Worksheet!$D$10)/Worksheet!$D$5*Request!$G8,0),ROUND(Request!$G8*(1+Request!$U$4)/Worksheet!$D$5*Worksheet!$D$5,0))))))),(IF(AND(Request!$U$4="Multi",Request!$T$4="FY"),ROUND(((1+Request!$O8)^(Worksheet!$B$20+1)*Worksheet!$D$9+(1+Request!$O8)^(Worksheet!$B$20+2)*Worksheet!$D$10)/Worksheet!$D$5*Request!$G8,0),(IF(AND(Request!$U$4="Multi",Request!$T$4="PY"),ROUND(Request!$G8*(1+Request!$O8)/Worksheet!$D$5*Worksheet!$D$5,0),(IF(AND(Request!$U$4&lt;&gt;"Multi",Request!$T$4="FY"),ROUND(((1+Request!$U$4)^(Worksheet!$B$20+1)*Worksheet!$D$9+(1+Request!$U$4)^(Worksheet!$B$20+2)*Worksheet!$D$10)/Worksheet!$D$5*Request!$G8,0),ROUND(Request!$G8*(1+Request!$U$4)/Worksheet!$D$5*Worksheet!$D$5,0)))))))))</f>
        <v>184885</v>
      </c>
      <c r="O389" s="307"/>
      <c r="P389" s="307">
        <f ca="1">IF(Worksheet!$E$5=0,"",IF($C$4=$D$4,(IF(AND(Request!$U$4="Multi",Request!$T$4="FY"),ROUND(((1+Request!$O8)^(Worksheet!$B$20+1)*Worksheet!$E$9+(1+Request!$O8)^(Worksheet!$B$20+2)*Worksheet!$E$10)/Worksheet!$E$5*Request!$G8,0),(IF(AND(Request!$U$4="Multi",Request!$T$4="PY"),ROUND(Request!$G8*((1+Request!$O8)^2)/Worksheet!$E$5*Worksheet!$E$5,0),(IF(AND(Request!$U$4&lt;&gt;"Multi",Request!$T$4="FY"),ROUND(((1+Request!$U$4)^(Worksheet!$B$20+1)*Worksheet!$E$9+(1+Request!$U$4)^(Worksheet!$B$20+2)*Worksheet!$E$10)/Worksheet!$E$5*Request!$G8,0),ROUND(Request!$G8*((1+Request!$U$4)^2)/Worksheet!$E$5*Worksheet!$E$5,0))))))),(IF(AND(Request!$U$4="Multi",Request!$T$4="FY"),ROUND(((1+Request!$O8)^(Worksheet!$B$20+2)*Worksheet!$E$9+(1+Request!$O8)^(Worksheet!$B$20+3)*Worksheet!$E$10)/Worksheet!$E$5*Request!$G8,0),(IF(AND(Request!$U$4="Multi",Request!$T$4="PY"),ROUND(Request!$G8*((1+Request!$O8)^2)/Worksheet!$E$5*Worksheet!$E$5,0),(IF(AND(Request!$U$4&lt;&gt;"Multi",Request!$T$4="FY"),ROUND(((1+Request!$U$4)^(Worksheet!$B$20+2)*Worksheet!$E$9+(1+Request!$U$4)^(Worksheet!$B$20+3)*Worksheet!$E$10)/Worksheet!$E$5*Request!$G8,0),ROUND(Request!$G8*((1+Request!$U$4)^2)/Worksheet!$E$5*Worksheet!$E$5,0)))))))))</f>
        <v>190432</v>
      </c>
      <c r="Q389" s="307"/>
      <c r="R389" s="307">
        <f ca="1">IF(Worksheet!$F$5=0,"",IF($C$4=$D$4,(IF(AND(Request!$U$4="Multi",Request!$T$4="FY"),ROUND(((1+Request!$O8)^(Worksheet!$B$20+2)*Worksheet!$F$9+(1+Request!$O8)^(Worksheet!$B$20+3)*Worksheet!$F$10)/Worksheet!$F$5*Request!$G8,0),(IF(AND(Request!$U$4="Multi",Request!$T$4="PY"),ROUND(Request!$G8*((1+Request!$O8)^3)/Worksheet!$F$5*Worksheet!$F$5,0),(IF(AND(Request!$U$4&lt;&gt;"Multi",Request!$T$4="FY"),ROUND(((1+Request!$U$4)^(Worksheet!$B$20+2)*Worksheet!$F$9+(1+Request!$U$4)^(Worksheet!$B$20+3)*Worksheet!$F$10)/Worksheet!$F$5*Request!$G8,0),ROUND(Request!$G8*((1+Request!$U$4)^3)/Worksheet!$F$5*Worksheet!$F$5,0))))))),(IF(AND(Request!$U$4="Multi",Request!$T$4="FY"),ROUND(((1+Request!$O8)^(Worksheet!$B$20+3)*Worksheet!$F$9+(1+Request!$O8)^(Worksheet!$B$20+4)*Worksheet!$F$10)/Worksheet!$F$5*Request!$G8,0),(IF(AND(Request!$U$4="Multi",Request!$T$4="PY"),ROUND(Request!$G8*((1+Request!$O8)^3)/Worksheet!$F$5*Worksheet!$F$5,0),(IF(AND(Request!$U$4&lt;&gt;"Multi",Request!$T$4="FY"),ROUND(((1+Request!$U$4)^(Worksheet!$B$20+3)*Worksheet!$F$9+(1+Request!$U$4)^(Worksheet!$B$20+4)*Worksheet!$F$10)/Worksheet!$F$5*Request!$G8,0),ROUND(Request!$G8*((1+Request!$U$4)^3)/Worksheet!$F$5*Worksheet!$F$5,0)))))))))</f>
        <v>196145</v>
      </c>
      <c r="S389" s="307"/>
      <c r="T389" s="307">
        <f ca="1">IF(Worksheet!$G$5=0,"",IF($C$4=$D$4,(IF(AND(Request!$U$4="Multi",Request!$T$4="FY"),ROUND(((1+Request!$O8)^(Worksheet!$B$20+3)*Worksheet!$G$9+(1+Request!$O8)^(Worksheet!$B$20+4)*Worksheet!$G$10)/Worksheet!$G$5*Request!$G8,0),(IF(AND(Request!$U$4="Multi",Request!$T$4="PY"),ROUND(Request!$G8*((1+Request!$O8)^4)/Worksheet!$G$5*Worksheet!$G$5,0),(IF(AND(Request!$U$4&lt;&gt;"Multi",Request!$T$4="FY"),ROUND(((1+Request!$U$4)^(Worksheet!$B$20+3)*Worksheet!$G$9+(1+Request!$U$4)^(Worksheet!$B$20+4)*Worksheet!$G$10)/Worksheet!$G$5*Request!$G8,0),ROUND(Request!$G8*((1+Request!$U$4)^4)/Worksheet!$G$5*Worksheet!$G$5,0))))))),(IF(AND(Request!$U$4="Multi",Request!$T$4="FY"),ROUND(((1+Request!$O8)^(Worksheet!$B$20+4)*Worksheet!$G$9+(1+Request!$O8)^(Worksheet!$B$20+5)*Worksheet!$G$10)/Worksheet!$G$5*Request!$G8,0),(IF(AND(Request!$U$4="Multi",Request!$T$4="PY"),ROUND(Request!$G8*((1+Request!$O8)^4)/Worksheet!$G$5*Worksheet!$G$5,0),(IF(AND(Request!$U$4&lt;&gt;"Multi",Request!$T$4="FY"),ROUND(((1+Request!$U$4)^(Worksheet!$B$20+4)*Worksheet!$G$9+(1+Request!$U$4)^(Worksheet!$B$20+5)*Worksheet!$G$10)/Worksheet!$G$5*Request!$G8,0),ROUND(Request!$G8*((1+Request!$U$4)^4)/Worksheet!$G$5*Worksheet!$G$5,0)))))))))</f>
        <v>202029</v>
      </c>
      <c r="U389" s="307"/>
    </row>
    <row r="390" spans="1:21" x14ac:dyDescent="0.2">
      <c r="A390" s="71" t="str">
        <f>'Personnel Reference'!B5</f>
        <v>Jeffries - PI (Summer)</v>
      </c>
      <c r="B390" s="329">
        <f ca="1">IF(Worksheet!$C$5=0,"",IF(AND(Request!$U$4="Multi",Request!$T$4="FY"),ROUND(((1+Request!$O9)^Worksheet!$B$20*Worksheet!$C$9+(1+Request!$O9)^(Worksheet!$B$20+1)*Worksheet!$C$10)/(Worksheet!$C$5)*Request!$E9,0),(IF(AND(Request!$U$4="Multi",Request!$T$4="PY"),ROUND(Request!$E9/(Worksheet!$C$5)*Worksheet!$C$5,0),(IF(AND(Request!$U$4&lt;&gt;"Multi",Request!$T$4="FY"),ROUND(((1+Request!$U$4)^Worksheet!$B$20*Worksheet!$C$9+(1+Request!$U$4)^(Worksheet!$B$20+1)*Worksheet!$C$10)/Worksheet!$C$5*Request!$E9,0),ROUND(Request!$E9/Worksheet!$C$5*Worksheet!$C$5,0)))))))</f>
        <v>134625</v>
      </c>
      <c r="C390" s="330"/>
      <c r="D390" s="329">
        <f ca="1">IF(Worksheet!$D$5=0,"",IF($C$4=$D$4,(IF(AND(Request!$U$4="Multi",Request!$T$4="FY"),ROUND(((1+Request!$O9)^(Worksheet!$B$20)*Worksheet!$D$9+(1+Request!$O9)^(Worksheet!$B$20+1)*Worksheet!$D$10)/Worksheet!$D$5*Request!$E9,0),(IF(AND(Request!$U$4="Multi",Request!$T$4="PY"),ROUND(Request!$E9*(1+Request!$O9)/Worksheet!$D$5*Worksheet!$D$5,0),(IF(AND(Request!$U$4&lt;&gt;"Multi",Request!$T$4="FY"),ROUND(((1+Request!$U$4)^(Worksheet!$B$20)*Worksheet!$D$9+(1+Request!$U$4)^(Worksheet!$B$20+1)*Worksheet!$D$10)/Worksheet!$D$5*Request!$E9,0),ROUND(Request!$E9*(1+Request!$U$4)/Worksheet!$D$5*Worksheet!$D$5,0))))))),(IF(AND(Request!$U$4="Multi",Request!$T$4="FY"),ROUND(((1+Request!$O9)^(Worksheet!$B$20+1)*Worksheet!$D$9+(1+Request!$O9)^(Worksheet!$B$20+2)*Worksheet!$D$10)/Worksheet!$D$5*Request!$E9,0),(IF(AND(Request!$U$4="Multi",Request!$T$4="PY"),ROUND(Request!$E9*(1+Request!$O9)/Worksheet!$D$5*Worksheet!$D$5,0),(IF(AND(Request!$U$4&lt;&gt;"Multi",Request!$T$4="FY"),ROUND(((1+Request!$U$4)^(Worksheet!$B$20+1)*Worksheet!$D$9+(1+Request!$U$4)^(Worksheet!$B$20+2)*Worksheet!$D$10)/Worksheet!$D$5*Request!$E9,0),ROUND(Request!$E9*(1+Request!$U$4)/Worksheet!$D$5*Worksheet!$D$5,0)))))))))</f>
        <v>138664</v>
      </c>
      <c r="E390" s="330"/>
      <c r="F390" s="329">
        <f ca="1">IF(Worksheet!$E$5=0,"",IF($C$4=$D$4,(IF(AND(Request!$U$4="Multi",Request!$T$4="FY"),ROUND(((1+Request!$O9)^(Worksheet!$B$20+1)*Worksheet!$E$9+(1+Request!$O9)^(Worksheet!$B$20+3)*Worksheet!$E$10)/Worksheet!$E$5*Request!$E9,0),(IF(AND(Request!$U$4="Multi",Request!$T$4="PY"),ROUND(Request!$E9*((1+Request!$O9)^2)/Worksheet!$E$5*Worksheet!$E$5,0),(IF(AND(Request!$U$4&lt;&gt;"Multi",Request!$T$4="FY"),ROUND(((1+Request!$U$4)^(Worksheet!$B$20+1)*Worksheet!$E$9+(1+Request!$U$4)^(Worksheet!$B$20+2)*Worksheet!$E$10)/Worksheet!$E$5*Request!$E9,0),ROUND(Request!$E9*((1+Request!$U$4)^2)/Worksheet!$E$5*Worksheet!$E$5,0))))))),(IF(AND(Request!$U$4="Multi",Request!$T$4="FY"),ROUND(((1+Request!$O9)^(Worksheet!$B$20+2)*Worksheet!$E$9+(1+Request!$O9)^(Worksheet!$B$20+3)*Worksheet!$E$10)/Worksheet!$E$5*Request!$E9,0),(IF(AND(Request!$U$4="Multi",Request!$T$4="PY"),ROUND(Request!$E9*((1+Request!$O9)^2)/Worksheet!$E$5*Worksheet!$E$5,0),(IF(AND(Request!$U$4&lt;&gt;"Multi",Request!$T$4="FY"),ROUND(((1+Request!$U$4)^(Worksheet!$B$20+2)*Worksheet!$E$9+(1+Request!$U$4)^(Worksheet!$B$20+3)*Worksheet!$E$10)/Worksheet!$E$5*Request!$E9,0),ROUND(Request!$E9*((1+Request!$U$4)^2)/Worksheet!$E$5*Worksheet!$E$5,0)))))))))</f>
        <v>142824</v>
      </c>
      <c r="G390" s="330"/>
      <c r="H390" s="329">
        <f ca="1">IF(Worksheet!$F$5=0,"",IF($C$4=$D$4,(IF(AND(Request!$U$4="Multi",Request!$T$4="FY"),ROUND(((1+Request!$O9)^(Worksheet!$B$20+2)*Worksheet!$F$9+(1+Request!$O9)^(Worksheet!$B$20+3)*Worksheet!$F$10)/Worksheet!$F$5*Request!$E9,0),(IF(AND(Request!$U$4="Multi",Request!$T$4="PY"),ROUND(Request!$E9*((1+Request!$O9)^3)/Worksheet!$F$5*Worksheet!$F$5,0),(IF(AND(Request!$U$4&lt;&gt;"Multi",Request!$T$4="FY"),ROUND(((1+Request!$U$4)^(Worksheet!$B$20+2)*Worksheet!$F$9+(1+Request!$U$4)^(Worksheet!$B$20+3)*Worksheet!$F$10)/Worksheet!$F$5*Request!$E9,0),ROUND(Request!$E9*((1+Request!$U$4)^3)/Worksheet!$F$5*Worksheet!$F$5,0))))))),(IF(AND(Request!$U$4="Multi",Request!$T$4="FY"),ROUND(((1+Request!$O9)^(Worksheet!$B$20+3)*Worksheet!$F$9+(1+Request!$O9)^(Worksheet!$B$20+4)*Worksheet!$F$10)/Worksheet!$F$5*Request!$E9,0),(IF(AND(Request!$U$4="Multi",Request!$T$4="PY"),ROUND(Request!$E9*((1+Request!$O9)^3)/Worksheet!$F$5*Worksheet!$F$5,0),(IF(AND(Request!$U$4&lt;&gt;"Multi",Request!$T$4="FY"),ROUND(((1+Request!$U$4)^(Worksheet!$B$20+3)*Worksheet!$F$9+(1+Request!$U$4)^(Worksheet!$B$20+4)*Worksheet!$F$10)/Worksheet!$F$5*Request!$E9,0),ROUND(Request!$E9*((1+Request!$U$4)^3)/Worksheet!$F$5*Worksheet!$F$5,0)))))))))</f>
        <v>147109</v>
      </c>
      <c r="I390" s="330"/>
      <c r="J390" s="329">
        <f ca="1">IF(Worksheet!$G$5=0,"",IF($C$4=$D$4,(IF(AND(Request!$U$4="Multi",Request!$T$4="FY"),ROUND(((1+Request!$O9)^(Worksheet!$B$20+3)*Worksheet!$G$9+(1+Request!$O9)^(Worksheet!$B$20+4)*Worksheet!$G$10)/Worksheet!$G$5*Request!$E9,0),(IF(AND(Request!$U$4="Multi",Request!$T$4="PY"),ROUND(Request!$E9*((1+Request!$O9)^4)/Worksheet!$G$5*Worksheet!$G$5,0),(IF(AND(Request!$U$4&lt;&gt;"Multi",Request!$T$4="FY"),ROUND(((1+Request!$U$4)^(Worksheet!$B$20+3)*Worksheet!$G$9+(1+Request!$U$4)^(Worksheet!$B$20+4)*Worksheet!$G$10)/Worksheet!$G$5*Request!$E9,0),ROUND(Request!$E9*((1+Request!$U$4)^4)/Worksheet!$G$5*Worksheet!$G$5,0))))))),(IF(AND(Request!$U$4="Multi",Request!$T$4="FY"),ROUND(((1+Request!$O9)^(Worksheet!$B$20+4)*Worksheet!$G$9+(1+Request!$O9)^(Worksheet!$B$20+5)*Worksheet!$G$10)/Worksheet!$G$5*Request!$E9,0),(IF(AND(Request!$U$4="Multi",Request!$T$4="PY"),ROUND(Request!$E9*((1+Request!$O9)^4)/Worksheet!$G$5*Worksheet!$G$5,0),(IF(AND(Request!$U$4&lt;&gt;"Multi",Request!$T$4="FY"),ROUND(((1+Request!$U$4)^(Worksheet!$B$20+4)*Worksheet!$G$9+(1+Request!$U$4)^(Worksheet!$B$20+5)*Worksheet!$G$10)/Worksheet!$G$5*Request!$E9,0),ROUND(Request!$E9*((1+Request!$U$4)^4)/Worksheet!$G$5*Worksheet!$G$5,0)))))))))</f>
        <v>151522</v>
      </c>
      <c r="K390" s="330"/>
      <c r="L390" s="307">
        <f ca="1">IF(Worksheet!$C$5=0,"",IF(AND(Request!$U$4="Multi",Request!$T$4="FY"),ROUND(((1+Request!$O9)^Worksheet!$B$20*Worksheet!$C$9+(1+Request!$O9)^(Worksheet!$B$20+1)*Worksheet!$C$10)/(Worksheet!$C$5)*Request!$G9,0),(IF(AND(Request!$U$4="Multi",Request!$T$4="PY"),ROUND(Request!$G9/(Worksheet!$C$5)*Worksheet!$C$5,0),(IF(AND(Request!$U$4&lt;&gt;"Multi",Request!$T$4="FY"),ROUND(((1+Request!$U$4)^Worksheet!$B$20*Worksheet!$C$9+(1+Request!$U$4)^(Worksheet!$B$20+1)*Worksheet!$C$10)/Worksheet!$C$5*Request!$G9,0),ROUND(Request!$G9/Worksheet!$C$5*Worksheet!$C$5,0)))))))</f>
        <v>179500</v>
      </c>
      <c r="M390" s="307"/>
      <c r="N390" s="307">
        <f ca="1">IF(Worksheet!$D$5=0,"",IF($C$4=$D$4,(IF(AND(Request!$U$4="Multi",Request!$T$4="FY"),ROUND(((1+Request!$O9)^(Worksheet!$B$20)*Worksheet!$D$9+(1+Request!$O9)^(Worksheet!$B$20+1)*Worksheet!$D$10)/Worksheet!$D$5*Request!$G9,0),(IF(AND(Request!$U$4="Multi",Request!$T$4="PY"),ROUND(Request!$G9*(1+Request!$O9)/Worksheet!$D$5*Worksheet!$D$5,0),(IF(AND(Request!$U$4&lt;&gt;"Multi",Request!$T$4="FY"),ROUND(((1+Request!$U$4)^(Worksheet!$B$20)*Worksheet!$D$9+(1+Request!$U$4)^(Worksheet!$B$20+1)*Worksheet!$D$10)/Worksheet!$D$5*Request!$G9,0),ROUND(Request!$G9*(1+Request!$U$4)/Worksheet!$D$5*Worksheet!$D$5,0))))))),(IF(AND(Request!$U$4="Multi",Request!$T$4="FY"),ROUND(((1+Request!$O9)^(Worksheet!$B$20+1)*Worksheet!$D$9+(1+Request!$O9)^(Worksheet!$B$20+2)*Worksheet!$D$10)/Worksheet!$D$5*Request!$G9,0),(IF(AND(Request!$U$4="Multi",Request!$T$4="PY"),ROUND(Request!$G9*(1+Request!$O9)/Worksheet!$D$5*Worksheet!$D$5,0),(IF(AND(Request!$U$4&lt;&gt;"Multi",Request!$T$4="FY"),ROUND(((1+Request!$U$4)^(Worksheet!$B$20+1)*Worksheet!$D$9+(1+Request!$U$4)^(Worksheet!$B$20+2)*Worksheet!$D$10)/Worksheet!$D$5*Request!$G9,0),ROUND(Request!$G9*(1+Request!$U$4)/Worksheet!$D$5*Worksheet!$D$5,0)))))))))</f>
        <v>184885</v>
      </c>
      <c r="O390" s="307"/>
      <c r="P390" s="307">
        <f ca="1">IF(Worksheet!$E$5=0,"",IF($C$4=$D$4,(IF(AND(Request!$U$4="Multi",Request!$T$4="FY"),ROUND(((1+Request!$O9)^(Worksheet!$B$20+1)*Worksheet!$E$9+(1+Request!$O9)^(Worksheet!$B$20+2)*Worksheet!$E$10)/Worksheet!$E$5*Request!$G9,0),(IF(AND(Request!$U$4="Multi",Request!$T$4="PY"),ROUND(Request!$G9*((1+Request!$O9)^2)/Worksheet!$E$5*Worksheet!$E$5,0),(IF(AND(Request!$U$4&lt;&gt;"Multi",Request!$T$4="FY"),ROUND(((1+Request!$U$4)^(Worksheet!$B$20+1)*Worksheet!$E$9+(1+Request!$U$4)^(Worksheet!$B$20+2)*Worksheet!$E$10)/Worksheet!$E$5*Request!$G9,0),ROUND(Request!$G9*((1+Request!$U$4)^2)/Worksheet!$E$5*Worksheet!$E$5,0))))))),(IF(AND(Request!$U$4="Multi",Request!$T$4="FY"),ROUND(((1+Request!$O9)^(Worksheet!$B$20+2)*Worksheet!$E$9+(1+Request!$O9)^(Worksheet!$B$20+3)*Worksheet!$E$10)/Worksheet!$E$5*Request!$G9,0),(IF(AND(Request!$U$4="Multi",Request!$T$4="PY"),ROUND(Request!$G9*((1+Request!$O9)^2)/Worksheet!$E$5*Worksheet!$E$5,0),(IF(AND(Request!$U$4&lt;&gt;"Multi",Request!$T$4="FY"),ROUND(((1+Request!$U$4)^(Worksheet!$B$20+2)*Worksheet!$E$9+(1+Request!$U$4)^(Worksheet!$B$20+3)*Worksheet!$E$10)/Worksheet!$E$5*Request!$G9,0),ROUND(Request!$G9*((1+Request!$U$4)^2)/Worksheet!$E$5*Worksheet!$E$5,0)))))))))</f>
        <v>190432</v>
      </c>
      <c r="Q390" s="307"/>
      <c r="R390" s="307">
        <f ca="1">IF(Worksheet!$F$5=0,"",IF($C$4=$D$4,(IF(AND(Request!$U$4="Multi",Request!$T$4="FY"),ROUND(((1+Request!$O9)^(Worksheet!$B$20+2)*Worksheet!$F$9+(1+Request!$O9)^(Worksheet!$B$20+3)*Worksheet!$F$10)/Worksheet!$F$5*Request!$G9,0),(IF(AND(Request!$U$4="Multi",Request!$T$4="PY"),ROUND(Request!$G9*((1+Request!$O9)^3)/Worksheet!$F$5*Worksheet!$F$5,0),(IF(AND(Request!$U$4&lt;&gt;"Multi",Request!$T$4="FY"),ROUND(((1+Request!$U$4)^(Worksheet!$B$20+2)*Worksheet!$F$9+(1+Request!$U$4)^(Worksheet!$B$20+3)*Worksheet!$F$10)/Worksheet!$F$5*Request!$G9,0),ROUND(Request!$G9*((1+Request!$U$4)^3)/Worksheet!$F$5*Worksheet!$F$5,0))))))),(IF(AND(Request!$U$4="Multi",Request!$T$4="FY"),ROUND(((1+Request!$O9)^(Worksheet!$B$20+3)*Worksheet!$F$9+(1+Request!$O9)^(Worksheet!$B$20+4)*Worksheet!$F$10)/Worksheet!$F$5*Request!$G9,0),(IF(AND(Request!$U$4="Multi",Request!$T$4="PY"),ROUND(Request!$G9*((1+Request!$O9)^3)/Worksheet!$F$5*Worksheet!$F$5,0),(IF(AND(Request!$U$4&lt;&gt;"Multi",Request!$T$4="FY"),ROUND(((1+Request!$U$4)^(Worksheet!$B$20+3)*Worksheet!$F$9+(1+Request!$U$4)^(Worksheet!$B$20+4)*Worksheet!$F$10)/Worksheet!$F$5*Request!$G9,0),ROUND(Request!$G9*((1+Request!$U$4)^3)/Worksheet!$F$5*Worksheet!$F$5,0)))))))))</f>
        <v>196145</v>
      </c>
      <c r="S390" s="307"/>
      <c r="T390" s="307">
        <f ca="1">IF(Worksheet!$G$5=0,"",IF($C$4=$D$4,(IF(AND(Request!$U$4="Multi",Request!$T$4="FY"),ROUND(((1+Request!$O9)^(Worksheet!$B$20+3)*Worksheet!$G$9+(1+Request!$O9)^(Worksheet!$B$20+4)*Worksheet!$G$10)/Worksheet!$G$5*Request!$G9,0),(IF(AND(Request!$U$4="Multi",Request!$T$4="PY"),ROUND(Request!$G9*((1+Request!$O9)^4)/Worksheet!$G$5*Worksheet!$G$5,0),(IF(AND(Request!$U$4&lt;&gt;"Multi",Request!$T$4="FY"),ROUND(((1+Request!$U$4)^(Worksheet!$B$20+3)*Worksheet!$G$9+(1+Request!$U$4)^(Worksheet!$B$20+4)*Worksheet!$G$10)/Worksheet!$G$5*Request!$G9,0),ROUND(Request!$G9*((1+Request!$U$4)^4)/Worksheet!$G$5*Worksheet!$G$5,0))))))),(IF(AND(Request!$U$4="Multi",Request!$T$4="FY"),ROUND(((1+Request!$O9)^(Worksheet!$B$20+4)*Worksheet!$G$9+(1+Request!$O9)^(Worksheet!$B$20+5)*Worksheet!$G$10)/Worksheet!$G$5*Request!$G9,0),(IF(AND(Request!$U$4="Multi",Request!$T$4="PY"),ROUND(Request!$G9*((1+Request!$O9)^4)/Worksheet!$G$5*Worksheet!$G$5,0),(IF(AND(Request!$U$4&lt;&gt;"Multi",Request!$T$4="FY"),ROUND(((1+Request!$U$4)^(Worksheet!$B$20+4)*Worksheet!$G$9+(1+Request!$U$4)^(Worksheet!$B$20+5)*Worksheet!$G$10)/Worksheet!$G$5*Request!$G9,0),ROUND(Request!$G9*((1+Request!$U$4)^4)/Worksheet!$G$5*Worksheet!$G$5,0)))))))))</f>
        <v>202029</v>
      </c>
      <c r="U390" s="307"/>
    </row>
    <row r="391" spans="1:21" x14ac:dyDescent="0.2">
      <c r="A391" s="71">
        <f>'Personnel Reference'!B6</f>
        <v>0</v>
      </c>
      <c r="B391" s="329">
        <f ca="1">IF(Worksheet!$C$5=0,"",IF(AND(Request!$U$4="Multi",Request!$T$4="FY"),ROUND(((1+Request!$O10)^Worksheet!$B$20*Worksheet!$C$9+(1+Request!$O10)^(Worksheet!$B$20+1)*Worksheet!$C$10)/(Worksheet!$C$5)*Request!$E10,0),(IF(AND(Request!$U$4="Multi",Request!$T$4="PY"),ROUND(Request!$E10/(Worksheet!$C$5)*Worksheet!$C$5,0),(IF(AND(Request!$U$4&lt;&gt;"Multi",Request!$T$4="FY"),ROUND(((1+Request!$U$4)^Worksheet!$B$20*Worksheet!$C$9+(1+Request!$U$4)^(Worksheet!$B$20+1)*Worksheet!$C$10)/Worksheet!$C$5*Request!$E10,0),ROUND(Request!$E10/Worksheet!$C$5*Worksheet!$C$5,0)))))))</f>
        <v>0</v>
      </c>
      <c r="C391" s="330"/>
      <c r="D391" s="329">
        <f ca="1">IF(Worksheet!$D$5=0,"",IF($C$4=$D$4,(IF(AND(Request!$U$4="Multi",Request!$T$4="FY"),ROUND(((1+Request!$O10)^(Worksheet!$B$20)*Worksheet!$D$9+(1+Request!$O10)^(Worksheet!$B$20+1)*Worksheet!$D$10)/Worksheet!$D$5*Request!$E10,0),(IF(AND(Request!$U$4="Multi",Request!$T$4="PY"),ROUND(Request!$E10*(1+Request!$O10)/Worksheet!$D$5*Worksheet!$D$5,0),(IF(AND(Request!$U$4&lt;&gt;"Multi",Request!$T$4="FY"),ROUND(((1+Request!$U$4)^(Worksheet!$B$20)*Worksheet!$D$9+(1+Request!$U$4)^(Worksheet!$B$20+1)*Worksheet!$D$10)/Worksheet!$D$5*Request!$E10,0),ROUND(Request!$E10*(1+Request!$U$4)/Worksheet!$D$5*Worksheet!$D$5,0))))))),(IF(AND(Request!$U$4="Multi",Request!$T$4="FY"),ROUND(((1+Request!$O10)^(Worksheet!$B$20+1)*Worksheet!$D$9+(1+Request!$O10)^(Worksheet!$B$20+2)*Worksheet!$D$10)/Worksheet!$D$5*Request!$E10,0),(IF(AND(Request!$U$4="Multi",Request!$T$4="PY"),ROUND(Request!$E10*(1+Request!$O10)/Worksheet!$D$5*Worksheet!$D$5,0),(IF(AND(Request!$U$4&lt;&gt;"Multi",Request!$T$4="FY"),ROUND(((1+Request!$U$4)^(Worksheet!$B$20+1)*Worksheet!$D$9+(1+Request!$U$4)^(Worksheet!$B$20+2)*Worksheet!$D$10)/Worksheet!$D$5*Request!$E10,0),ROUND(Request!$E10*(1+Request!$U$4)/Worksheet!$D$5*Worksheet!$D$5,0)))))))))</f>
        <v>0</v>
      </c>
      <c r="E391" s="330"/>
      <c r="F391" s="329">
        <f ca="1">IF(Worksheet!$E$5=0,"",IF($C$4=$D$4,(IF(AND(Request!$U$4="Multi",Request!$T$4="FY"),ROUND(((1+Request!$O10)^(Worksheet!$B$20+1)*Worksheet!$E$9+(1+Request!$O10)^(Worksheet!$B$20+3)*Worksheet!$E$10)/Worksheet!$E$5*Request!$E10,0),(IF(AND(Request!$U$4="Multi",Request!$T$4="PY"),ROUND(Request!$E10*((1+Request!$O10)^2)/Worksheet!$E$5*Worksheet!$E$5,0),(IF(AND(Request!$U$4&lt;&gt;"Multi",Request!$T$4="FY"),ROUND(((1+Request!$U$4)^(Worksheet!$B$20+1)*Worksheet!$E$9+(1+Request!$U$4)^(Worksheet!$B$20+2)*Worksheet!$E$10)/Worksheet!$E$5*Request!$E10,0),ROUND(Request!$E10*((1+Request!$U$4)^2)/Worksheet!$E$5*Worksheet!$E$5,0))))))),(IF(AND(Request!$U$4="Multi",Request!$T$4="FY"),ROUND(((1+Request!$O10)^(Worksheet!$B$20+2)*Worksheet!$E$9+(1+Request!$O10)^(Worksheet!$B$20+3)*Worksheet!$E$10)/Worksheet!$E$5*Request!$E10,0),(IF(AND(Request!$U$4="Multi",Request!$T$4="PY"),ROUND(Request!$E10*((1+Request!$O10)^2)/Worksheet!$E$5*Worksheet!$E$5,0),(IF(AND(Request!$U$4&lt;&gt;"Multi",Request!$T$4="FY"),ROUND(((1+Request!$U$4)^(Worksheet!$B$20+2)*Worksheet!$E$9+(1+Request!$U$4)^(Worksheet!$B$20+3)*Worksheet!$E$10)/Worksheet!$E$5*Request!$E10,0),ROUND(Request!$E10*((1+Request!$U$4)^2)/Worksheet!$E$5*Worksheet!$E$5,0)))))))))</f>
        <v>0</v>
      </c>
      <c r="G391" s="330"/>
      <c r="H391" s="329">
        <f ca="1">IF(Worksheet!$F$5=0,"",IF($C$4=$D$4,(IF(AND(Request!$U$4="Multi",Request!$T$4="FY"),ROUND(((1+Request!$O10)^(Worksheet!$B$20+2)*Worksheet!$F$9+(1+Request!$O10)^(Worksheet!$B$20+3)*Worksheet!$F$10)/Worksheet!$F$5*Request!$E10,0),(IF(AND(Request!$U$4="Multi",Request!$T$4="PY"),ROUND(Request!$E10*((1+Request!$O10)^3)/Worksheet!$F$5*Worksheet!$F$5,0),(IF(AND(Request!$U$4&lt;&gt;"Multi",Request!$T$4="FY"),ROUND(((1+Request!$U$4)^(Worksheet!$B$20+2)*Worksheet!$F$9+(1+Request!$U$4)^(Worksheet!$B$20+3)*Worksheet!$F$10)/Worksheet!$F$5*Request!$E10,0),ROUND(Request!$E10*((1+Request!$U$4)^3)/Worksheet!$F$5*Worksheet!$F$5,0))))))),(IF(AND(Request!$U$4="Multi",Request!$T$4="FY"),ROUND(((1+Request!$O10)^(Worksheet!$B$20+3)*Worksheet!$F$9+(1+Request!$O10)^(Worksheet!$B$20+4)*Worksheet!$F$10)/Worksheet!$F$5*Request!$E10,0),(IF(AND(Request!$U$4="Multi",Request!$T$4="PY"),ROUND(Request!$E10*((1+Request!$O10)^3)/Worksheet!$F$5*Worksheet!$F$5,0),(IF(AND(Request!$U$4&lt;&gt;"Multi",Request!$T$4="FY"),ROUND(((1+Request!$U$4)^(Worksheet!$B$20+3)*Worksheet!$F$9+(1+Request!$U$4)^(Worksheet!$B$20+4)*Worksheet!$F$10)/Worksheet!$F$5*Request!$E10,0),ROUND(Request!$E10*((1+Request!$U$4)^3)/Worksheet!$F$5*Worksheet!$F$5,0)))))))))</f>
        <v>0</v>
      </c>
      <c r="I391" s="330"/>
      <c r="J391" s="329">
        <f ca="1">IF(Worksheet!$G$5=0,"",IF($C$4=$D$4,(IF(AND(Request!$U$4="Multi",Request!$T$4="FY"),ROUND(((1+Request!$O10)^(Worksheet!$B$20+3)*Worksheet!$G$9+(1+Request!$O10)^(Worksheet!$B$20+4)*Worksheet!$G$10)/Worksheet!$G$5*Request!$E10,0),(IF(AND(Request!$U$4="Multi",Request!$T$4="PY"),ROUND(Request!$E10*((1+Request!$O10)^4)/Worksheet!$G$5*Worksheet!$G$5,0),(IF(AND(Request!$U$4&lt;&gt;"Multi",Request!$T$4="FY"),ROUND(((1+Request!$U$4)^(Worksheet!$B$20+3)*Worksheet!$G$9+(1+Request!$U$4)^(Worksheet!$B$20+4)*Worksheet!$G$10)/Worksheet!$G$5*Request!$E10,0),ROUND(Request!$E10*((1+Request!$U$4)^4)/Worksheet!$G$5*Worksheet!$G$5,0))))))),(IF(AND(Request!$U$4="Multi",Request!$T$4="FY"),ROUND(((1+Request!$O10)^(Worksheet!$B$20+4)*Worksheet!$G$9+(1+Request!$O10)^(Worksheet!$B$20+5)*Worksheet!$G$10)/Worksheet!$G$5*Request!$E10,0),(IF(AND(Request!$U$4="Multi",Request!$T$4="PY"),ROUND(Request!$E10*((1+Request!$O10)^4)/Worksheet!$G$5*Worksheet!$G$5,0),(IF(AND(Request!$U$4&lt;&gt;"Multi",Request!$T$4="FY"),ROUND(((1+Request!$U$4)^(Worksheet!$B$20+4)*Worksheet!$G$9+(1+Request!$U$4)^(Worksheet!$B$20+5)*Worksheet!$G$10)/Worksheet!$G$5*Request!$E10,0),ROUND(Request!$E10*((1+Request!$U$4)^4)/Worksheet!$G$5*Worksheet!$G$5,0)))))))))</f>
        <v>0</v>
      </c>
      <c r="K391" s="330"/>
      <c r="L391" s="307">
        <f ca="1">IF(Worksheet!$C$5=0,"",IF(AND(Request!$U$4="Multi",Request!$T$4="FY"),ROUND(((1+Request!$O10)^Worksheet!$B$20*Worksheet!$C$9+(1+Request!$O10)^(Worksheet!$B$20+1)*Worksheet!$C$10)/(Worksheet!$C$5)*Request!$G10,0),(IF(AND(Request!$U$4="Multi",Request!$T$4="PY"),ROUND(Request!$G10/(Worksheet!$C$5)*Worksheet!$C$5,0),(IF(AND(Request!$U$4&lt;&gt;"Multi",Request!$T$4="FY"),ROUND(((1+Request!$U$4)^Worksheet!$B$20*Worksheet!$C$9+(1+Request!$U$4)^(Worksheet!$B$20+1)*Worksheet!$C$10)/Worksheet!$C$5*Request!$G10,0),ROUND(Request!$G10/Worksheet!$C$5*Worksheet!$C$5,0)))))))</f>
        <v>0</v>
      </c>
      <c r="M391" s="307"/>
      <c r="N391" s="307">
        <f ca="1">IF(Worksheet!$D$5=0,"",IF($C$4=$D$4,(IF(AND(Request!$U$4="Multi",Request!$T$4="FY"),ROUND(((1+Request!$O10)^(Worksheet!$B$20)*Worksheet!$D$9+(1+Request!$O10)^(Worksheet!$B$20+1)*Worksheet!$D$10)/Worksheet!$D$5*Request!$G10,0),(IF(AND(Request!$U$4="Multi",Request!$T$4="PY"),ROUND(Request!$G10*(1+Request!$O10)/Worksheet!$D$5*Worksheet!$D$5,0),(IF(AND(Request!$U$4&lt;&gt;"Multi",Request!$T$4="FY"),ROUND(((1+Request!$U$4)^(Worksheet!$B$20)*Worksheet!$D$9+(1+Request!$U$4)^(Worksheet!$B$20+1)*Worksheet!$D$10)/Worksheet!$D$5*Request!$G10,0),ROUND(Request!$G10*(1+Request!$U$4)/Worksheet!$D$5*Worksheet!$D$5,0))))))),(IF(AND(Request!$U$4="Multi",Request!$T$4="FY"),ROUND(((1+Request!$O10)^(Worksheet!$B$20+1)*Worksheet!$D$9+(1+Request!$O10)^(Worksheet!$B$20+2)*Worksheet!$D$10)/Worksheet!$D$5*Request!$G10,0),(IF(AND(Request!$U$4="Multi",Request!$T$4="PY"),ROUND(Request!$G10*(1+Request!$O10)/Worksheet!$D$5*Worksheet!$D$5,0),(IF(AND(Request!$U$4&lt;&gt;"Multi",Request!$T$4="FY"),ROUND(((1+Request!$U$4)^(Worksheet!$B$20+1)*Worksheet!$D$9+(1+Request!$U$4)^(Worksheet!$B$20+2)*Worksheet!$D$10)/Worksheet!$D$5*Request!$G10,0),ROUND(Request!$G10*(1+Request!$U$4)/Worksheet!$D$5*Worksheet!$D$5,0)))))))))</f>
        <v>0</v>
      </c>
      <c r="O391" s="307"/>
      <c r="P391" s="307">
        <f ca="1">IF(Worksheet!$E$5=0,"",IF($C$4=$D$4,(IF(AND(Request!$U$4="Multi",Request!$T$4="FY"),ROUND(((1+Request!$O10)^(Worksheet!$B$20+1)*Worksheet!$E$9+(1+Request!$O10)^(Worksheet!$B$20+2)*Worksheet!$E$10)/Worksheet!$E$5*Request!$G10,0),(IF(AND(Request!$U$4="Multi",Request!$T$4="PY"),ROUND(Request!$G10*((1+Request!$O10)^2)/Worksheet!$E$5*Worksheet!$E$5,0),(IF(AND(Request!$U$4&lt;&gt;"Multi",Request!$T$4="FY"),ROUND(((1+Request!$U$4)^(Worksheet!$B$20+1)*Worksheet!$E$9+(1+Request!$U$4)^(Worksheet!$B$20+2)*Worksheet!$E$10)/Worksheet!$E$5*Request!$G10,0),ROUND(Request!$G10*((1+Request!$U$4)^2)/Worksheet!$E$5*Worksheet!$E$5,0))))))),(IF(AND(Request!$U$4="Multi",Request!$T$4="FY"),ROUND(((1+Request!$O10)^(Worksheet!$B$20+2)*Worksheet!$E$9+(1+Request!$O10)^(Worksheet!$B$20+3)*Worksheet!$E$10)/Worksheet!$E$5*Request!$G10,0),(IF(AND(Request!$U$4="Multi",Request!$T$4="PY"),ROUND(Request!$G10*((1+Request!$O10)^2)/Worksheet!$E$5*Worksheet!$E$5,0),(IF(AND(Request!$U$4&lt;&gt;"Multi",Request!$T$4="FY"),ROUND(((1+Request!$U$4)^(Worksheet!$B$20+2)*Worksheet!$E$9+(1+Request!$U$4)^(Worksheet!$B$20+3)*Worksheet!$E$10)/Worksheet!$E$5*Request!$G10,0),ROUND(Request!$G10*((1+Request!$U$4)^2)/Worksheet!$E$5*Worksheet!$E$5,0)))))))))</f>
        <v>0</v>
      </c>
      <c r="Q391" s="307"/>
      <c r="R391" s="307">
        <f ca="1">IF(Worksheet!$F$5=0,"",IF($C$4=$D$4,(IF(AND(Request!$U$4="Multi",Request!$T$4="FY"),ROUND(((1+Request!$O10)^(Worksheet!$B$20+2)*Worksheet!$F$9+(1+Request!$O10)^(Worksheet!$B$20+3)*Worksheet!$F$10)/Worksheet!$F$5*Request!$G10,0),(IF(AND(Request!$U$4="Multi",Request!$T$4="PY"),ROUND(Request!$G10*((1+Request!$O10)^3)/Worksheet!$F$5*Worksheet!$F$5,0),(IF(AND(Request!$U$4&lt;&gt;"Multi",Request!$T$4="FY"),ROUND(((1+Request!$U$4)^(Worksheet!$B$20+2)*Worksheet!$F$9+(1+Request!$U$4)^(Worksheet!$B$20+3)*Worksheet!$F$10)/Worksheet!$F$5*Request!$G10,0),ROUND(Request!$G10*((1+Request!$U$4)^3)/Worksheet!$F$5*Worksheet!$F$5,0))))))),(IF(AND(Request!$U$4="Multi",Request!$T$4="FY"),ROUND(((1+Request!$O10)^(Worksheet!$B$20+3)*Worksheet!$F$9+(1+Request!$O10)^(Worksheet!$B$20+4)*Worksheet!$F$10)/Worksheet!$F$5*Request!$G10,0),(IF(AND(Request!$U$4="Multi",Request!$T$4="PY"),ROUND(Request!$G10*((1+Request!$O10)^3)/Worksheet!$F$5*Worksheet!$F$5,0),(IF(AND(Request!$U$4&lt;&gt;"Multi",Request!$T$4="FY"),ROUND(((1+Request!$U$4)^(Worksheet!$B$20+3)*Worksheet!$F$9+(1+Request!$U$4)^(Worksheet!$B$20+4)*Worksheet!$F$10)/Worksheet!$F$5*Request!$G10,0),ROUND(Request!$G10*((1+Request!$U$4)^3)/Worksheet!$F$5*Worksheet!$F$5,0)))))))))</f>
        <v>0</v>
      </c>
      <c r="S391" s="307"/>
      <c r="T391" s="307">
        <f ca="1">IF(Worksheet!$G$5=0,"",IF($C$4=$D$4,(IF(AND(Request!$U$4="Multi",Request!$T$4="FY"),ROUND(((1+Request!$O10)^(Worksheet!$B$20+3)*Worksheet!$G$9+(1+Request!$O10)^(Worksheet!$B$20+4)*Worksheet!$G$10)/Worksheet!$G$5*Request!$G10,0),(IF(AND(Request!$U$4="Multi",Request!$T$4="PY"),ROUND(Request!$G10*((1+Request!$O10)^4)/Worksheet!$G$5*Worksheet!$G$5,0),(IF(AND(Request!$U$4&lt;&gt;"Multi",Request!$T$4="FY"),ROUND(((1+Request!$U$4)^(Worksheet!$B$20+3)*Worksheet!$G$9+(1+Request!$U$4)^(Worksheet!$B$20+4)*Worksheet!$G$10)/Worksheet!$G$5*Request!$G10,0),ROUND(Request!$G10*((1+Request!$U$4)^4)/Worksheet!$G$5*Worksheet!$G$5,0))))))),(IF(AND(Request!$U$4="Multi",Request!$T$4="FY"),ROUND(((1+Request!$O10)^(Worksheet!$B$20+4)*Worksheet!$G$9+(1+Request!$O10)^(Worksheet!$B$20+5)*Worksheet!$G$10)/Worksheet!$G$5*Request!$G10,0),(IF(AND(Request!$U$4="Multi",Request!$T$4="PY"),ROUND(Request!$G10*((1+Request!$O10)^4)/Worksheet!$G$5*Worksheet!$G$5,0),(IF(AND(Request!$U$4&lt;&gt;"Multi",Request!$T$4="FY"),ROUND(((1+Request!$U$4)^(Worksheet!$B$20+4)*Worksheet!$G$9+(1+Request!$U$4)^(Worksheet!$B$20+5)*Worksheet!$G$10)/Worksheet!$G$5*Request!$G10,0),ROUND(Request!$G10*((1+Request!$U$4)^4)/Worksheet!$G$5*Worksheet!$G$5,0)))))))))</f>
        <v>0</v>
      </c>
      <c r="U391" s="307"/>
    </row>
    <row r="392" spans="1:21" x14ac:dyDescent="0.2">
      <c r="A392" s="71">
        <f>'Personnel Reference'!B7</f>
        <v>0</v>
      </c>
      <c r="B392" s="329">
        <f ca="1">IF(Worksheet!$C$5=0,"",IF(AND(Request!$U$4="Multi",Request!$T$4="FY"),ROUND(((1+Request!$O11)^Worksheet!$B$20*Worksheet!$C$9+(1+Request!$O11)^(Worksheet!$B$20+1)*Worksheet!$C$10)/(Worksheet!$C$5)*Request!$E11,0),(IF(AND(Request!$U$4="Multi",Request!$T$4="PY"),ROUND(Request!$E11/(Worksheet!$C$5)*Worksheet!$C$5,0),(IF(AND(Request!$U$4&lt;&gt;"Multi",Request!$T$4="FY"),ROUND(((1+Request!$U$4)^Worksheet!$B$20*Worksheet!$C$9+(1+Request!$U$4)^(Worksheet!$B$20+1)*Worksheet!$C$10)/Worksheet!$C$5*Request!$E11,0),ROUND(Request!$E11/Worksheet!$C$5*Worksheet!$C$5,0)))))))</f>
        <v>0</v>
      </c>
      <c r="C392" s="330"/>
      <c r="D392" s="329">
        <f ca="1">IF(Worksheet!$D$5=0,"",IF($C$4=$D$4,(IF(AND(Request!$U$4="Multi",Request!$T$4="FY"),ROUND(((1+Request!$O11)^(Worksheet!$B$20)*Worksheet!$D$9+(1+Request!$O11)^(Worksheet!$B$20+1)*Worksheet!$D$10)/Worksheet!$D$5*Request!$E11,0),(IF(AND(Request!$U$4="Multi",Request!$T$4="PY"),ROUND(Request!$E11*(1+Request!$O11)/Worksheet!$D$5*Worksheet!$D$5,0),(IF(AND(Request!$U$4&lt;&gt;"Multi",Request!$T$4="FY"),ROUND(((1+Request!$U$4)^(Worksheet!$B$20)*Worksheet!$D$9+(1+Request!$U$4)^(Worksheet!$B$20+1)*Worksheet!$D$10)/Worksheet!$D$5*Request!$E11,0),ROUND(Request!$E11*(1+Request!$U$4)/Worksheet!$D$5*Worksheet!$D$5,0))))))),(IF(AND(Request!$U$4="Multi",Request!$T$4="FY"),ROUND(((1+Request!$O11)^(Worksheet!$B$20+1)*Worksheet!$D$9+(1+Request!$O11)^(Worksheet!$B$20+2)*Worksheet!$D$10)/Worksheet!$D$5*Request!$E11,0),(IF(AND(Request!$U$4="Multi",Request!$T$4="PY"),ROUND(Request!$E11*(1+Request!$O11)/Worksheet!$D$5*Worksheet!$D$5,0),(IF(AND(Request!$U$4&lt;&gt;"Multi",Request!$T$4="FY"),ROUND(((1+Request!$U$4)^(Worksheet!$B$20+1)*Worksheet!$D$9+(1+Request!$U$4)^(Worksheet!$B$20+2)*Worksheet!$D$10)/Worksheet!$D$5*Request!$E11,0),ROUND(Request!$E11*(1+Request!$U$4)/Worksheet!$D$5*Worksheet!$D$5,0)))))))))</f>
        <v>0</v>
      </c>
      <c r="E392" s="330"/>
      <c r="F392" s="329">
        <f ca="1">IF(Worksheet!$E$5=0,"",IF($C$4=$D$4,(IF(AND(Request!$U$4="Multi",Request!$T$4="FY"),ROUND(((1+Request!$O11)^(Worksheet!$B$20+1)*Worksheet!$E$9+(1+Request!$O11)^(Worksheet!$B$20+3)*Worksheet!$E$10)/Worksheet!$E$5*Request!$E11,0),(IF(AND(Request!$U$4="Multi",Request!$T$4="PY"),ROUND(Request!$E11*((1+Request!$O11)^2)/Worksheet!$E$5*Worksheet!$E$5,0),(IF(AND(Request!$U$4&lt;&gt;"Multi",Request!$T$4="FY"),ROUND(((1+Request!$U$4)^(Worksheet!$B$20+1)*Worksheet!$E$9+(1+Request!$U$4)^(Worksheet!$B$20+2)*Worksheet!$E$10)/Worksheet!$E$5*Request!$E11,0),ROUND(Request!$E11*((1+Request!$U$4)^2)/Worksheet!$E$5*Worksheet!$E$5,0))))))),(IF(AND(Request!$U$4="Multi",Request!$T$4="FY"),ROUND(((1+Request!$O11)^(Worksheet!$B$20+2)*Worksheet!$E$9+(1+Request!$O11)^(Worksheet!$B$20+3)*Worksheet!$E$10)/Worksheet!$E$5*Request!$E11,0),(IF(AND(Request!$U$4="Multi",Request!$T$4="PY"),ROUND(Request!$E11*((1+Request!$O11)^2)/Worksheet!$E$5*Worksheet!$E$5,0),(IF(AND(Request!$U$4&lt;&gt;"Multi",Request!$T$4="FY"),ROUND(((1+Request!$U$4)^(Worksheet!$B$20+2)*Worksheet!$E$9+(1+Request!$U$4)^(Worksheet!$B$20+3)*Worksheet!$E$10)/Worksheet!$E$5*Request!$E11,0),ROUND(Request!$E11*((1+Request!$U$4)^2)/Worksheet!$E$5*Worksheet!$E$5,0)))))))))</f>
        <v>0</v>
      </c>
      <c r="G392" s="330"/>
      <c r="H392" s="329">
        <f ca="1">IF(Worksheet!$F$5=0,"",IF($C$4=$D$4,(IF(AND(Request!$U$4="Multi",Request!$T$4="FY"),ROUND(((1+Request!$O11)^(Worksheet!$B$20+2)*Worksheet!$F$9+(1+Request!$O11)^(Worksheet!$B$20+3)*Worksheet!$F$10)/Worksheet!$F$5*Request!$E11,0),(IF(AND(Request!$U$4="Multi",Request!$T$4="PY"),ROUND(Request!$E11*((1+Request!$O11)^3)/Worksheet!$F$5*Worksheet!$F$5,0),(IF(AND(Request!$U$4&lt;&gt;"Multi",Request!$T$4="FY"),ROUND(((1+Request!$U$4)^(Worksheet!$B$20+2)*Worksheet!$F$9+(1+Request!$U$4)^(Worksheet!$B$20+3)*Worksheet!$F$10)/Worksheet!$F$5*Request!$E11,0),ROUND(Request!$E11*((1+Request!$U$4)^3)/Worksheet!$F$5*Worksheet!$F$5,0))))))),(IF(AND(Request!$U$4="Multi",Request!$T$4="FY"),ROUND(((1+Request!$O11)^(Worksheet!$B$20+3)*Worksheet!$F$9+(1+Request!$O11)^(Worksheet!$B$20+4)*Worksheet!$F$10)/Worksheet!$F$5*Request!$E11,0),(IF(AND(Request!$U$4="Multi",Request!$T$4="PY"),ROUND(Request!$E11*((1+Request!$O11)^3)/Worksheet!$F$5*Worksheet!$F$5,0),(IF(AND(Request!$U$4&lt;&gt;"Multi",Request!$T$4="FY"),ROUND(((1+Request!$U$4)^(Worksheet!$B$20+3)*Worksheet!$F$9+(1+Request!$U$4)^(Worksheet!$B$20+4)*Worksheet!$F$10)/Worksheet!$F$5*Request!$E11,0),ROUND(Request!$E11*((1+Request!$U$4)^3)/Worksheet!$F$5*Worksheet!$F$5,0)))))))))</f>
        <v>0</v>
      </c>
      <c r="I392" s="330"/>
      <c r="J392" s="329">
        <f ca="1">IF(Worksheet!$G$5=0,"",IF($C$4=$D$4,(IF(AND(Request!$U$4="Multi",Request!$T$4="FY"),ROUND(((1+Request!$O11)^(Worksheet!$B$20+3)*Worksheet!$G$9+(1+Request!$O11)^(Worksheet!$B$20+4)*Worksheet!$G$10)/Worksheet!$G$5*Request!$E11,0),(IF(AND(Request!$U$4="Multi",Request!$T$4="PY"),ROUND(Request!$E11*((1+Request!$O11)^4)/Worksheet!$G$5*Worksheet!$G$5,0),(IF(AND(Request!$U$4&lt;&gt;"Multi",Request!$T$4="FY"),ROUND(((1+Request!$U$4)^(Worksheet!$B$20+3)*Worksheet!$G$9+(1+Request!$U$4)^(Worksheet!$B$20+4)*Worksheet!$G$10)/Worksheet!$G$5*Request!$E11,0),ROUND(Request!$E11*((1+Request!$U$4)^4)/Worksheet!$G$5*Worksheet!$G$5,0))))))),(IF(AND(Request!$U$4="Multi",Request!$T$4="FY"),ROUND(((1+Request!$O11)^(Worksheet!$B$20+4)*Worksheet!$G$9+(1+Request!$O11)^(Worksheet!$B$20+5)*Worksheet!$G$10)/Worksheet!$G$5*Request!$E11,0),(IF(AND(Request!$U$4="Multi",Request!$T$4="PY"),ROUND(Request!$E11*((1+Request!$O11)^4)/Worksheet!$G$5*Worksheet!$G$5,0),(IF(AND(Request!$U$4&lt;&gt;"Multi",Request!$T$4="FY"),ROUND(((1+Request!$U$4)^(Worksheet!$B$20+4)*Worksheet!$G$9+(1+Request!$U$4)^(Worksheet!$B$20+5)*Worksheet!$G$10)/Worksheet!$G$5*Request!$E11,0),ROUND(Request!$E11*((1+Request!$U$4)^4)/Worksheet!$G$5*Worksheet!$G$5,0)))))))))</f>
        <v>0</v>
      </c>
      <c r="K392" s="330"/>
      <c r="L392" s="307">
        <f ca="1">IF(Worksheet!$C$5=0,"",IF(AND(Request!$U$4="Multi",Request!$T$4="FY"),ROUND(((1+Request!$O11)^Worksheet!$B$20*Worksheet!$C$9+(1+Request!$O11)^(Worksheet!$B$20+1)*Worksheet!$C$10)/(Worksheet!$C$5)*Request!$G11,0),(IF(AND(Request!$U$4="Multi",Request!$T$4="PY"),ROUND(Request!$G11/(Worksheet!$C$5)*Worksheet!$C$5,0),(IF(AND(Request!$U$4&lt;&gt;"Multi",Request!$T$4="FY"),ROUND(((1+Request!$U$4)^Worksheet!$B$20*Worksheet!$C$9+(1+Request!$U$4)^(Worksheet!$B$20+1)*Worksheet!$C$10)/Worksheet!$C$5*Request!$G11,0),ROUND(Request!$G11/Worksheet!$C$5*Worksheet!$C$5,0)))))))</f>
        <v>0</v>
      </c>
      <c r="M392" s="307"/>
      <c r="N392" s="307">
        <f ca="1">IF(Worksheet!$D$5=0,"",IF($C$4=$D$4,(IF(AND(Request!$U$4="Multi",Request!$T$4="FY"),ROUND(((1+Request!$O11)^(Worksheet!$B$20)*Worksheet!$D$9+(1+Request!$O11)^(Worksheet!$B$20+1)*Worksheet!$D$10)/Worksheet!$D$5*Request!$G11,0),(IF(AND(Request!$U$4="Multi",Request!$T$4="PY"),ROUND(Request!$G11*(1+Request!$O11)/Worksheet!$D$5*Worksheet!$D$5,0),(IF(AND(Request!$U$4&lt;&gt;"Multi",Request!$T$4="FY"),ROUND(((1+Request!$U$4)^(Worksheet!$B$20)*Worksheet!$D$9+(1+Request!$U$4)^(Worksheet!$B$20+1)*Worksheet!$D$10)/Worksheet!$D$5*Request!$G11,0),ROUND(Request!$G11*(1+Request!$U$4)/Worksheet!$D$5*Worksheet!$D$5,0))))))),(IF(AND(Request!$U$4="Multi",Request!$T$4="FY"),ROUND(((1+Request!$O11)^(Worksheet!$B$20+1)*Worksheet!$D$9+(1+Request!$O11)^(Worksheet!$B$20+2)*Worksheet!$D$10)/Worksheet!$D$5*Request!$G11,0),(IF(AND(Request!$U$4="Multi",Request!$T$4="PY"),ROUND(Request!$G11*(1+Request!$O11)/Worksheet!$D$5*Worksheet!$D$5,0),(IF(AND(Request!$U$4&lt;&gt;"Multi",Request!$T$4="FY"),ROUND(((1+Request!$U$4)^(Worksheet!$B$20+1)*Worksheet!$D$9+(1+Request!$U$4)^(Worksheet!$B$20+2)*Worksheet!$D$10)/Worksheet!$D$5*Request!$G11,0),ROUND(Request!$G11*(1+Request!$U$4)/Worksheet!$D$5*Worksheet!$D$5,0)))))))))</f>
        <v>0</v>
      </c>
      <c r="O392" s="307"/>
      <c r="P392" s="307">
        <f ca="1">IF(Worksheet!$E$5=0,"",IF($C$4=$D$4,(IF(AND(Request!$U$4="Multi",Request!$T$4="FY"),ROUND(((1+Request!$O11)^(Worksheet!$B$20+1)*Worksheet!$E$9+(1+Request!$O11)^(Worksheet!$B$20+2)*Worksheet!$E$10)/Worksheet!$E$5*Request!$G11,0),(IF(AND(Request!$U$4="Multi",Request!$T$4="PY"),ROUND(Request!$G11*((1+Request!$O11)^2)/Worksheet!$E$5*Worksheet!$E$5,0),(IF(AND(Request!$U$4&lt;&gt;"Multi",Request!$T$4="FY"),ROUND(((1+Request!$U$4)^(Worksheet!$B$20+1)*Worksheet!$E$9+(1+Request!$U$4)^(Worksheet!$B$20+2)*Worksheet!$E$10)/Worksheet!$E$5*Request!$G11,0),ROUND(Request!$G11*((1+Request!$U$4)^2)/Worksheet!$E$5*Worksheet!$E$5,0))))))),(IF(AND(Request!$U$4="Multi",Request!$T$4="FY"),ROUND(((1+Request!$O11)^(Worksheet!$B$20+2)*Worksheet!$E$9+(1+Request!$O11)^(Worksheet!$B$20+3)*Worksheet!$E$10)/Worksheet!$E$5*Request!$G11,0),(IF(AND(Request!$U$4="Multi",Request!$T$4="PY"),ROUND(Request!$G11*((1+Request!$O11)^2)/Worksheet!$E$5*Worksheet!$E$5,0),(IF(AND(Request!$U$4&lt;&gt;"Multi",Request!$T$4="FY"),ROUND(((1+Request!$U$4)^(Worksheet!$B$20+2)*Worksheet!$E$9+(1+Request!$U$4)^(Worksheet!$B$20+3)*Worksheet!$E$10)/Worksheet!$E$5*Request!$G11,0),ROUND(Request!$G11*((1+Request!$U$4)^2)/Worksheet!$E$5*Worksheet!$E$5,0)))))))))</f>
        <v>0</v>
      </c>
      <c r="Q392" s="307"/>
      <c r="R392" s="307">
        <f ca="1">IF(Worksheet!$F$5=0,"",IF($C$4=$D$4,(IF(AND(Request!$U$4="Multi",Request!$T$4="FY"),ROUND(((1+Request!$O11)^(Worksheet!$B$20+2)*Worksheet!$F$9+(1+Request!$O11)^(Worksheet!$B$20+3)*Worksheet!$F$10)/Worksheet!$F$5*Request!$G11,0),(IF(AND(Request!$U$4="Multi",Request!$T$4="PY"),ROUND(Request!$G11*((1+Request!$O11)^3)/Worksheet!$F$5*Worksheet!$F$5,0),(IF(AND(Request!$U$4&lt;&gt;"Multi",Request!$T$4="FY"),ROUND(((1+Request!$U$4)^(Worksheet!$B$20+2)*Worksheet!$F$9+(1+Request!$U$4)^(Worksheet!$B$20+3)*Worksheet!$F$10)/Worksheet!$F$5*Request!$G11,0),ROUND(Request!$G11*((1+Request!$U$4)^3)/Worksheet!$F$5*Worksheet!$F$5,0))))))),(IF(AND(Request!$U$4="Multi",Request!$T$4="FY"),ROUND(((1+Request!$O11)^(Worksheet!$B$20+3)*Worksheet!$F$9+(1+Request!$O11)^(Worksheet!$B$20+4)*Worksheet!$F$10)/Worksheet!$F$5*Request!$G11,0),(IF(AND(Request!$U$4="Multi",Request!$T$4="PY"),ROUND(Request!$G11*((1+Request!$O11)^3)/Worksheet!$F$5*Worksheet!$F$5,0),(IF(AND(Request!$U$4&lt;&gt;"Multi",Request!$T$4="FY"),ROUND(((1+Request!$U$4)^(Worksheet!$B$20+3)*Worksheet!$F$9+(1+Request!$U$4)^(Worksheet!$B$20+4)*Worksheet!$F$10)/Worksheet!$F$5*Request!$G11,0),ROUND(Request!$G11*((1+Request!$U$4)^3)/Worksheet!$F$5*Worksheet!$F$5,0)))))))))</f>
        <v>0</v>
      </c>
      <c r="S392" s="307"/>
      <c r="T392" s="307">
        <f ca="1">IF(Worksheet!$G$5=0,"",IF($C$4=$D$4,(IF(AND(Request!$U$4="Multi",Request!$T$4="FY"),ROUND(((1+Request!$O11)^(Worksheet!$B$20+3)*Worksheet!$G$9+(1+Request!$O11)^(Worksheet!$B$20+4)*Worksheet!$G$10)/Worksheet!$G$5*Request!$G11,0),(IF(AND(Request!$U$4="Multi",Request!$T$4="PY"),ROUND(Request!$G11*((1+Request!$O11)^4)/Worksheet!$G$5*Worksheet!$G$5,0),(IF(AND(Request!$U$4&lt;&gt;"Multi",Request!$T$4="FY"),ROUND(((1+Request!$U$4)^(Worksheet!$B$20+3)*Worksheet!$G$9+(1+Request!$U$4)^(Worksheet!$B$20+4)*Worksheet!$G$10)/Worksheet!$G$5*Request!$G11,0),ROUND(Request!$G11*((1+Request!$U$4)^4)/Worksheet!$G$5*Worksheet!$G$5,0))))))),(IF(AND(Request!$U$4="Multi",Request!$T$4="FY"),ROUND(((1+Request!$O11)^(Worksheet!$B$20+4)*Worksheet!$G$9+(1+Request!$O11)^(Worksheet!$B$20+5)*Worksheet!$G$10)/Worksheet!$G$5*Request!$G11,0),(IF(AND(Request!$U$4="Multi",Request!$T$4="PY"),ROUND(Request!$G11*((1+Request!$O11)^4)/Worksheet!$G$5*Worksheet!$G$5,0),(IF(AND(Request!$U$4&lt;&gt;"Multi",Request!$T$4="FY"),ROUND(((1+Request!$U$4)^(Worksheet!$B$20+4)*Worksheet!$G$9+(1+Request!$U$4)^(Worksheet!$B$20+5)*Worksheet!$G$10)/Worksheet!$G$5*Request!$G11,0),ROUND(Request!$G11*((1+Request!$U$4)^4)/Worksheet!$G$5*Worksheet!$G$5,0)))))))))</f>
        <v>0</v>
      </c>
      <c r="U392" s="307"/>
    </row>
    <row r="393" spans="1:21" x14ac:dyDescent="0.2">
      <c r="A393" s="71">
        <f>'Personnel Reference'!B8</f>
        <v>0</v>
      </c>
      <c r="B393" s="329">
        <f ca="1">IF(Worksheet!$C$5=0,"",IF(AND(Request!$U$4="Multi",Request!$T$4="FY"),ROUND(((1+Request!$O12)^Worksheet!$B$20*Worksheet!$C$9+(1+Request!$O12)^(Worksheet!$B$20+1)*Worksheet!$C$10)/(Worksheet!$C$5)*Request!$E12,0),(IF(AND(Request!$U$4="Multi",Request!$T$4="PY"),ROUND(Request!$E12/(Worksheet!$C$5)*Worksheet!$C$5,0),(IF(AND(Request!$U$4&lt;&gt;"Multi",Request!$T$4="FY"),ROUND(((1+Request!$U$4)^Worksheet!$B$20*Worksheet!$C$9+(1+Request!$U$4)^(Worksheet!$B$20+1)*Worksheet!$C$10)/Worksheet!$C$5*Request!$E12,0),ROUND(Request!$E12/Worksheet!$C$5*Worksheet!$C$5,0)))))))</f>
        <v>0</v>
      </c>
      <c r="C393" s="330"/>
      <c r="D393" s="329">
        <f ca="1">IF(Worksheet!$D$5=0,"",IF($C$4=$D$4,(IF(AND(Request!$U$4="Multi",Request!$T$4="FY"),ROUND(((1+Request!$O12)^(Worksheet!$B$20)*Worksheet!$D$9+(1+Request!$O12)^(Worksheet!$B$20+1)*Worksheet!$D$10)/Worksheet!$D$5*Request!$E12,0),(IF(AND(Request!$U$4="Multi",Request!$T$4="PY"),ROUND(Request!$E12*(1+Request!$O12)/Worksheet!$D$5*Worksheet!$D$5,0),(IF(AND(Request!$U$4&lt;&gt;"Multi",Request!$T$4="FY"),ROUND(((1+Request!$U$4)^(Worksheet!$B$20)*Worksheet!$D$9+(1+Request!$U$4)^(Worksheet!$B$20+1)*Worksheet!$D$10)/Worksheet!$D$5*Request!$E12,0),ROUND(Request!$E12*(1+Request!$U$4)/Worksheet!$D$5*Worksheet!$D$5,0))))))),(IF(AND(Request!$U$4="Multi",Request!$T$4="FY"),ROUND(((1+Request!$O12)^(Worksheet!$B$20+1)*Worksheet!$D$9+(1+Request!$O12)^(Worksheet!$B$20+2)*Worksheet!$D$10)/Worksheet!$D$5*Request!$E12,0),(IF(AND(Request!$U$4="Multi",Request!$T$4="PY"),ROUND(Request!$E12*(1+Request!$O12)/Worksheet!$D$5*Worksheet!$D$5,0),(IF(AND(Request!$U$4&lt;&gt;"Multi",Request!$T$4="FY"),ROUND(((1+Request!$U$4)^(Worksheet!$B$20+1)*Worksheet!$D$9+(1+Request!$U$4)^(Worksheet!$B$20+2)*Worksheet!$D$10)/Worksheet!$D$5*Request!$E12,0),ROUND(Request!$E12*(1+Request!$U$4)/Worksheet!$D$5*Worksheet!$D$5,0)))))))))</f>
        <v>0</v>
      </c>
      <c r="E393" s="330"/>
      <c r="F393" s="329">
        <f ca="1">IF(Worksheet!$E$5=0,"",IF($C$4=$D$4,(IF(AND(Request!$U$4="Multi",Request!$T$4="FY"),ROUND(((1+Request!$O12)^(Worksheet!$B$20+1)*Worksheet!$E$9+(1+Request!$O12)^(Worksheet!$B$20+3)*Worksheet!$E$10)/Worksheet!$E$5*Request!$E12,0),(IF(AND(Request!$U$4="Multi",Request!$T$4="PY"),ROUND(Request!$E12*((1+Request!$O12)^2)/Worksheet!$E$5*Worksheet!$E$5,0),(IF(AND(Request!$U$4&lt;&gt;"Multi",Request!$T$4="FY"),ROUND(((1+Request!$U$4)^(Worksheet!$B$20+1)*Worksheet!$E$9+(1+Request!$U$4)^(Worksheet!$B$20+2)*Worksheet!$E$10)/Worksheet!$E$5*Request!$E12,0),ROUND(Request!$E12*((1+Request!$U$4)^2)/Worksheet!$E$5*Worksheet!$E$5,0))))))),(IF(AND(Request!$U$4="Multi",Request!$T$4="FY"),ROUND(((1+Request!$O12)^(Worksheet!$B$20+2)*Worksheet!$E$9+(1+Request!$O12)^(Worksheet!$B$20+3)*Worksheet!$E$10)/Worksheet!$E$5*Request!$E12,0),(IF(AND(Request!$U$4="Multi",Request!$T$4="PY"),ROUND(Request!$E12*((1+Request!$O12)^2)/Worksheet!$E$5*Worksheet!$E$5,0),(IF(AND(Request!$U$4&lt;&gt;"Multi",Request!$T$4="FY"),ROUND(((1+Request!$U$4)^(Worksheet!$B$20+2)*Worksheet!$E$9+(1+Request!$U$4)^(Worksheet!$B$20+3)*Worksheet!$E$10)/Worksheet!$E$5*Request!$E12,0),ROUND(Request!$E12*((1+Request!$U$4)^2)/Worksheet!$E$5*Worksheet!$E$5,0)))))))))</f>
        <v>0</v>
      </c>
      <c r="G393" s="330"/>
      <c r="H393" s="329">
        <f ca="1">IF(Worksheet!$F$5=0,"",IF($C$4=$D$4,(IF(AND(Request!$U$4="Multi",Request!$T$4="FY"),ROUND(((1+Request!$O12)^(Worksheet!$B$20+2)*Worksheet!$F$9+(1+Request!$O12)^(Worksheet!$B$20+3)*Worksheet!$F$10)/Worksheet!$F$5*Request!$E12,0),(IF(AND(Request!$U$4="Multi",Request!$T$4="PY"),ROUND(Request!$E12*((1+Request!$O12)^3)/Worksheet!$F$5*Worksheet!$F$5,0),(IF(AND(Request!$U$4&lt;&gt;"Multi",Request!$T$4="FY"),ROUND(((1+Request!$U$4)^(Worksheet!$B$20+2)*Worksheet!$F$9+(1+Request!$U$4)^(Worksheet!$B$20+3)*Worksheet!$F$10)/Worksheet!$F$5*Request!$E12,0),ROUND(Request!$E12*((1+Request!$U$4)^3)/Worksheet!$F$5*Worksheet!$F$5,0))))))),(IF(AND(Request!$U$4="Multi",Request!$T$4="FY"),ROUND(((1+Request!$O12)^(Worksheet!$B$20+3)*Worksheet!$F$9+(1+Request!$O12)^(Worksheet!$B$20+4)*Worksheet!$F$10)/Worksheet!$F$5*Request!$E12,0),(IF(AND(Request!$U$4="Multi",Request!$T$4="PY"),ROUND(Request!$E12*((1+Request!$O12)^3)/Worksheet!$F$5*Worksheet!$F$5,0),(IF(AND(Request!$U$4&lt;&gt;"Multi",Request!$T$4="FY"),ROUND(((1+Request!$U$4)^(Worksheet!$B$20+3)*Worksheet!$F$9+(1+Request!$U$4)^(Worksheet!$B$20+4)*Worksheet!$F$10)/Worksheet!$F$5*Request!$E12,0),ROUND(Request!$E12*((1+Request!$U$4)^3)/Worksheet!$F$5*Worksheet!$F$5,0)))))))))</f>
        <v>0</v>
      </c>
      <c r="I393" s="330"/>
      <c r="J393" s="329">
        <f ca="1">IF(Worksheet!$G$5=0,"",IF($C$4=$D$4,(IF(AND(Request!$U$4="Multi",Request!$T$4="FY"),ROUND(((1+Request!$O12)^(Worksheet!$B$20+3)*Worksheet!$G$9+(1+Request!$O12)^(Worksheet!$B$20+4)*Worksheet!$G$10)/Worksheet!$G$5*Request!$E12,0),(IF(AND(Request!$U$4="Multi",Request!$T$4="PY"),ROUND(Request!$E12*((1+Request!$O12)^4)/Worksheet!$G$5*Worksheet!$G$5,0),(IF(AND(Request!$U$4&lt;&gt;"Multi",Request!$T$4="FY"),ROUND(((1+Request!$U$4)^(Worksheet!$B$20+3)*Worksheet!$G$9+(1+Request!$U$4)^(Worksheet!$B$20+4)*Worksheet!$G$10)/Worksheet!$G$5*Request!$E12,0),ROUND(Request!$E12*((1+Request!$U$4)^4)/Worksheet!$G$5*Worksheet!$G$5,0))))))),(IF(AND(Request!$U$4="Multi",Request!$T$4="FY"),ROUND(((1+Request!$O12)^(Worksheet!$B$20+4)*Worksheet!$G$9+(1+Request!$O12)^(Worksheet!$B$20+5)*Worksheet!$G$10)/Worksheet!$G$5*Request!$E12,0),(IF(AND(Request!$U$4="Multi",Request!$T$4="PY"),ROUND(Request!$E12*((1+Request!$O12)^4)/Worksheet!$G$5*Worksheet!$G$5,0),(IF(AND(Request!$U$4&lt;&gt;"Multi",Request!$T$4="FY"),ROUND(((1+Request!$U$4)^(Worksheet!$B$20+4)*Worksheet!$G$9+(1+Request!$U$4)^(Worksheet!$B$20+5)*Worksheet!$G$10)/Worksheet!$G$5*Request!$E12,0),ROUND(Request!$E12*((1+Request!$U$4)^4)/Worksheet!$G$5*Worksheet!$G$5,0)))))))))</f>
        <v>0</v>
      </c>
      <c r="K393" s="330"/>
      <c r="L393" s="307">
        <f ca="1">IF(Worksheet!$C$5=0,"",IF(AND(Request!$U$4="Multi",Request!$T$4="FY"),ROUND(((1+Request!$O12)^Worksheet!$B$20*Worksheet!$C$9+(1+Request!$O12)^(Worksheet!$B$20+1)*Worksheet!$C$10)/(Worksheet!$C$5)*Request!$G12,0),(IF(AND(Request!$U$4="Multi",Request!$T$4="PY"),ROUND(Request!$G12/(Worksheet!$C$5)*Worksheet!$C$5,0),(IF(AND(Request!$U$4&lt;&gt;"Multi",Request!$T$4="FY"),ROUND(((1+Request!$U$4)^Worksheet!$B$20*Worksheet!$C$9+(1+Request!$U$4)^(Worksheet!$B$20+1)*Worksheet!$C$10)/Worksheet!$C$5*Request!$G12,0),ROUND(Request!$G12/Worksheet!$C$5*Worksheet!$C$5,0)))))))</f>
        <v>0</v>
      </c>
      <c r="M393" s="307"/>
      <c r="N393" s="307">
        <f ca="1">IF(Worksheet!$D$5=0,"",IF($C$4=$D$4,(IF(AND(Request!$U$4="Multi",Request!$T$4="FY"),ROUND(((1+Request!$O12)^(Worksheet!$B$20)*Worksheet!$D$9+(1+Request!$O12)^(Worksheet!$B$20+1)*Worksheet!$D$10)/Worksheet!$D$5*Request!$G12,0),(IF(AND(Request!$U$4="Multi",Request!$T$4="PY"),ROUND(Request!$G12*(1+Request!$O12)/Worksheet!$D$5*Worksheet!$D$5,0),(IF(AND(Request!$U$4&lt;&gt;"Multi",Request!$T$4="FY"),ROUND(((1+Request!$U$4)^(Worksheet!$B$20)*Worksheet!$D$9+(1+Request!$U$4)^(Worksheet!$B$20+1)*Worksheet!$D$10)/Worksheet!$D$5*Request!$G12,0),ROUND(Request!$G12*(1+Request!$U$4)/Worksheet!$D$5*Worksheet!$D$5,0))))))),(IF(AND(Request!$U$4="Multi",Request!$T$4="FY"),ROUND(((1+Request!$O12)^(Worksheet!$B$20+1)*Worksheet!$D$9+(1+Request!$O12)^(Worksheet!$B$20+2)*Worksheet!$D$10)/Worksheet!$D$5*Request!$G12,0),(IF(AND(Request!$U$4="Multi",Request!$T$4="PY"),ROUND(Request!$G12*(1+Request!$O12)/Worksheet!$D$5*Worksheet!$D$5,0),(IF(AND(Request!$U$4&lt;&gt;"Multi",Request!$T$4="FY"),ROUND(((1+Request!$U$4)^(Worksheet!$B$20+1)*Worksheet!$D$9+(1+Request!$U$4)^(Worksheet!$B$20+2)*Worksheet!$D$10)/Worksheet!$D$5*Request!$G12,0),ROUND(Request!$G12*(1+Request!$U$4)/Worksheet!$D$5*Worksheet!$D$5,0)))))))))</f>
        <v>0</v>
      </c>
      <c r="O393" s="307"/>
      <c r="P393" s="307">
        <f ca="1">IF(Worksheet!$E$5=0,"",IF($C$4=$D$4,(IF(AND(Request!$U$4="Multi",Request!$T$4="FY"),ROUND(((1+Request!$O12)^(Worksheet!$B$20+1)*Worksheet!$E$9+(1+Request!$O12)^(Worksheet!$B$20+2)*Worksheet!$E$10)/Worksheet!$E$5*Request!$G12,0),(IF(AND(Request!$U$4="Multi",Request!$T$4="PY"),ROUND(Request!$G12*((1+Request!$O12)^2)/Worksheet!$E$5*Worksheet!$E$5,0),(IF(AND(Request!$U$4&lt;&gt;"Multi",Request!$T$4="FY"),ROUND(((1+Request!$U$4)^(Worksheet!$B$20+1)*Worksheet!$E$9+(1+Request!$U$4)^(Worksheet!$B$20+2)*Worksheet!$E$10)/Worksheet!$E$5*Request!$G12,0),ROUND(Request!$G12*((1+Request!$U$4)^2)/Worksheet!$E$5*Worksheet!$E$5,0))))))),(IF(AND(Request!$U$4="Multi",Request!$T$4="FY"),ROUND(((1+Request!$O12)^(Worksheet!$B$20+2)*Worksheet!$E$9+(1+Request!$O12)^(Worksheet!$B$20+3)*Worksheet!$E$10)/Worksheet!$E$5*Request!$G12,0),(IF(AND(Request!$U$4="Multi",Request!$T$4="PY"),ROUND(Request!$G12*((1+Request!$O12)^2)/Worksheet!$E$5*Worksheet!$E$5,0),(IF(AND(Request!$U$4&lt;&gt;"Multi",Request!$T$4="FY"),ROUND(((1+Request!$U$4)^(Worksheet!$B$20+2)*Worksheet!$E$9+(1+Request!$U$4)^(Worksheet!$B$20+3)*Worksheet!$E$10)/Worksheet!$E$5*Request!$G12,0),ROUND(Request!$G12*((1+Request!$U$4)^2)/Worksheet!$E$5*Worksheet!$E$5,0)))))))))</f>
        <v>0</v>
      </c>
      <c r="Q393" s="307"/>
      <c r="R393" s="307">
        <f ca="1">IF(Worksheet!$F$5=0,"",IF($C$4=$D$4,(IF(AND(Request!$U$4="Multi",Request!$T$4="FY"),ROUND(((1+Request!$O12)^(Worksheet!$B$20+2)*Worksheet!$F$9+(1+Request!$O12)^(Worksheet!$B$20+3)*Worksheet!$F$10)/Worksheet!$F$5*Request!$G12,0),(IF(AND(Request!$U$4="Multi",Request!$T$4="PY"),ROUND(Request!$G12*((1+Request!$O12)^3)/Worksheet!$F$5*Worksheet!$F$5,0),(IF(AND(Request!$U$4&lt;&gt;"Multi",Request!$T$4="FY"),ROUND(((1+Request!$U$4)^(Worksheet!$B$20+2)*Worksheet!$F$9+(1+Request!$U$4)^(Worksheet!$B$20+3)*Worksheet!$F$10)/Worksheet!$F$5*Request!$G12,0),ROUND(Request!$G12*((1+Request!$U$4)^3)/Worksheet!$F$5*Worksheet!$F$5,0))))))),(IF(AND(Request!$U$4="Multi",Request!$T$4="FY"),ROUND(((1+Request!$O12)^(Worksheet!$B$20+3)*Worksheet!$F$9+(1+Request!$O12)^(Worksheet!$B$20+4)*Worksheet!$F$10)/Worksheet!$F$5*Request!$G12,0),(IF(AND(Request!$U$4="Multi",Request!$T$4="PY"),ROUND(Request!$G12*((1+Request!$O12)^3)/Worksheet!$F$5*Worksheet!$F$5,0),(IF(AND(Request!$U$4&lt;&gt;"Multi",Request!$T$4="FY"),ROUND(((1+Request!$U$4)^(Worksheet!$B$20+3)*Worksheet!$F$9+(1+Request!$U$4)^(Worksheet!$B$20+4)*Worksheet!$F$10)/Worksheet!$F$5*Request!$G12,0),ROUND(Request!$G12*((1+Request!$U$4)^3)/Worksheet!$F$5*Worksheet!$F$5,0)))))))))</f>
        <v>0</v>
      </c>
      <c r="S393" s="307"/>
      <c r="T393" s="307">
        <f ca="1">IF(Worksheet!$G$5=0,"",IF($C$4=$D$4,(IF(AND(Request!$U$4="Multi",Request!$T$4="FY"),ROUND(((1+Request!$O12)^(Worksheet!$B$20+3)*Worksheet!$G$9+(1+Request!$O12)^(Worksheet!$B$20+4)*Worksheet!$G$10)/Worksheet!$G$5*Request!$G12,0),(IF(AND(Request!$U$4="Multi",Request!$T$4="PY"),ROUND(Request!$G12*((1+Request!$O12)^4)/Worksheet!$G$5*Worksheet!$G$5,0),(IF(AND(Request!$U$4&lt;&gt;"Multi",Request!$T$4="FY"),ROUND(((1+Request!$U$4)^(Worksheet!$B$20+3)*Worksheet!$G$9+(1+Request!$U$4)^(Worksheet!$B$20+4)*Worksheet!$G$10)/Worksheet!$G$5*Request!$G12,0),ROUND(Request!$G12*((1+Request!$U$4)^4)/Worksheet!$G$5*Worksheet!$G$5,0))))))),(IF(AND(Request!$U$4="Multi",Request!$T$4="FY"),ROUND(((1+Request!$O12)^(Worksheet!$B$20+4)*Worksheet!$G$9+(1+Request!$O12)^(Worksheet!$B$20+5)*Worksheet!$G$10)/Worksheet!$G$5*Request!$G12,0),(IF(AND(Request!$U$4="Multi",Request!$T$4="PY"),ROUND(Request!$G12*((1+Request!$O12)^4)/Worksheet!$G$5*Worksheet!$G$5,0),(IF(AND(Request!$U$4&lt;&gt;"Multi",Request!$T$4="FY"),ROUND(((1+Request!$U$4)^(Worksheet!$B$20+4)*Worksheet!$G$9+(1+Request!$U$4)^(Worksheet!$B$20+5)*Worksheet!$G$10)/Worksheet!$G$5*Request!$G12,0),ROUND(Request!$G12*((1+Request!$U$4)^4)/Worksheet!$G$5*Worksheet!$G$5,0)))))))))</f>
        <v>0</v>
      </c>
      <c r="U393" s="307"/>
    </row>
    <row r="394" spans="1:21" x14ac:dyDescent="0.2">
      <c r="A394" s="71">
        <f>'Personnel Reference'!B9</f>
        <v>0</v>
      </c>
      <c r="B394" s="329">
        <f ca="1">IF(Worksheet!$C$5=0,"",IF(AND(Request!$U$4="Multi",Request!$T$4="FY"),ROUND(((1+Request!$O13)^Worksheet!$B$20*Worksheet!$C$9+(1+Request!$O13)^(Worksheet!$B$20+1)*Worksheet!$C$10)/(Worksheet!$C$5)*Request!$E13,0),(IF(AND(Request!$U$4="Multi",Request!$T$4="PY"),ROUND(Request!$E13/(Worksheet!$C$5)*Worksheet!$C$5,0),(IF(AND(Request!$U$4&lt;&gt;"Multi",Request!$T$4="FY"),ROUND(((1+Request!$U$4)^Worksheet!$B$20*Worksheet!$C$9+(1+Request!$U$4)^(Worksheet!$B$20+1)*Worksheet!$C$10)/Worksheet!$C$5*Request!$E13,0),ROUND(Request!$E13/Worksheet!$C$5*Worksheet!$C$5,0)))))))</f>
        <v>0</v>
      </c>
      <c r="C394" s="330"/>
      <c r="D394" s="329">
        <f ca="1">IF(Worksheet!$D$5=0,"",IF($C$4=$D$4,(IF(AND(Request!$U$4="Multi",Request!$T$4="FY"),ROUND(((1+Request!$O13)^(Worksheet!$B$20)*Worksheet!$D$9+(1+Request!$O13)^(Worksheet!$B$20+1)*Worksheet!$D$10)/Worksheet!$D$5*Request!$E13,0),(IF(AND(Request!$U$4="Multi",Request!$T$4="PY"),ROUND(Request!$E13*(1+Request!$O13)/Worksheet!$D$5*Worksheet!$D$5,0),(IF(AND(Request!$U$4&lt;&gt;"Multi",Request!$T$4="FY"),ROUND(((1+Request!$U$4)^(Worksheet!$B$20)*Worksheet!$D$9+(1+Request!$U$4)^(Worksheet!$B$20+1)*Worksheet!$D$10)/Worksheet!$D$5*Request!$E13,0),ROUND(Request!$E13*(1+Request!$U$4)/Worksheet!$D$5*Worksheet!$D$5,0))))))),(IF(AND(Request!$U$4="Multi",Request!$T$4="FY"),ROUND(((1+Request!$O13)^(Worksheet!$B$20+1)*Worksheet!$D$9+(1+Request!$O13)^(Worksheet!$B$20+2)*Worksheet!$D$10)/Worksheet!$D$5*Request!$E13,0),(IF(AND(Request!$U$4="Multi",Request!$T$4="PY"),ROUND(Request!$E13*(1+Request!$O13)/Worksheet!$D$5*Worksheet!$D$5,0),(IF(AND(Request!$U$4&lt;&gt;"Multi",Request!$T$4="FY"),ROUND(((1+Request!$U$4)^(Worksheet!$B$20+1)*Worksheet!$D$9+(1+Request!$U$4)^(Worksheet!$B$20+2)*Worksheet!$D$10)/Worksheet!$D$5*Request!$E13,0),ROUND(Request!$E13*(1+Request!$U$4)/Worksheet!$D$5*Worksheet!$D$5,0)))))))))</f>
        <v>0</v>
      </c>
      <c r="E394" s="330"/>
      <c r="F394" s="329">
        <f ca="1">IF(Worksheet!$E$5=0,"",IF($C$4=$D$4,(IF(AND(Request!$U$4="Multi",Request!$T$4="FY"),ROUND(((1+Request!$O13)^(Worksheet!$B$20+1)*Worksheet!$E$9+(1+Request!$O13)^(Worksheet!$B$20+3)*Worksheet!$E$10)/Worksheet!$E$5*Request!$E13,0),(IF(AND(Request!$U$4="Multi",Request!$T$4="PY"),ROUND(Request!$E13*((1+Request!$O13)^2)/Worksheet!$E$5*Worksheet!$E$5,0),(IF(AND(Request!$U$4&lt;&gt;"Multi",Request!$T$4="FY"),ROUND(((1+Request!$U$4)^(Worksheet!$B$20+1)*Worksheet!$E$9+(1+Request!$U$4)^(Worksheet!$B$20+2)*Worksheet!$E$10)/Worksheet!$E$5*Request!$E13,0),ROUND(Request!$E13*((1+Request!$U$4)^2)/Worksheet!$E$5*Worksheet!$E$5,0))))))),(IF(AND(Request!$U$4="Multi",Request!$T$4="FY"),ROUND(((1+Request!$O13)^(Worksheet!$B$20+2)*Worksheet!$E$9+(1+Request!$O13)^(Worksheet!$B$20+3)*Worksheet!$E$10)/Worksheet!$E$5*Request!$E13,0),(IF(AND(Request!$U$4="Multi",Request!$T$4="PY"),ROUND(Request!$E13*((1+Request!$O13)^2)/Worksheet!$E$5*Worksheet!$E$5,0),(IF(AND(Request!$U$4&lt;&gt;"Multi",Request!$T$4="FY"),ROUND(((1+Request!$U$4)^(Worksheet!$B$20+2)*Worksheet!$E$9+(1+Request!$U$4)^(Worksheet!$B$20+3)*Worksheet!$E$10)/Worksheet!$E$5*Request!$E13,0),ROUND(Request!$E13*((1+Request!$U$4)^2)/Worksheet!$E$5*Worksheet!$E$5,0)))))))))</f>
        <v>0</v>
      </c>
      <c r="G394" s="330"/>
      <c r="H394" s="329">
        <f ca="1">IF(Worksheet!$F$5=0,"",IF($C$4=$D$4,(IF(AND(Request!$U$4="Multi",Request!$T$4="FY"),ROUND(((1+Request!$O13)^(Worksheet!$B$20+2)*Worksheet!$F$9+(1+Request!$O13)^(Worksheet!$B$20+3)*Worksheet!$F$10)/Worksheet!$F$5*Request!$E13,0),(IF(AND(Request!$U$4="Multi",Request!$T$4="PY"),ROUND(Request!$E13*((1+Request!$O13)^3)/Worksheet!$F$5*Worksheet!$F$5,0),(IF(AND(Request!$U$4&lt;&gt;"Multi",Request!$T$4="FY"),ROUND(((1+Request!$U$4)^(Worksheet!$B$20+2)*Worksheet!$F$9+(1+Request!$U$4)^(Worksheet!$B$20+3)*Worksheet!$F$10)/Worksheet!$F$5*Request!$E13,0),ROUND(Request!$E13*((1+Request!$U$4)^3)/Worksheet!$F$5*Worksheet!$F$5,0))))))),(IF(AND(Request!$U$4="Multi",Request!$T$4="FY"),ROUND(((1+Request!$O13)^(Worksheet!$B$20+3)*Worksheet!$F$9+(1+Request!$O13)^(Worksheet!$B$20+4)*Worksheet!$F$10)/Worksheet!$F$5*Request!$E13,0),(IF(AND(Request!$U$4="Multi",Request!$T$4="PY"),ROUND(Request!$E13*((1+Request!$O13)^3)/Worksheet!$F$5*Worksheet!$F$5,0),(IF(AND(Request!$U$4&lt;&gt;"Multi",Request!$T$4="FY"),ROUND(((1+Request!$U$4)^(Worksheet!$B$20+3)*Worksheet!$F$9+(1+Request!$U$4)^(Worksheet!$B$20+4)*Worksheet!$F$10)/Worksheet!$F$5*Request!$E13,0),ROUND(Request!$E13*((1+Request!$U$4)^3)/Worksheet!$F$5*Worksheet!$F$5,0)))))))))</f>
        <v>0</v>
      </c>
      <c r="I394" s="330"/>
      <c r="J394" s="329">
        <f ca="1">IF(Worksheet!$G$5=0,"",IF($C$4=$D$4,(IF(AND(Request!$U$4="Multi",Request!$T$4="FY"),ROUND(((1+Request!$O13)^(Worksheet!$B$20+3)*Worksheet!$G$9+(1+Request!$O13)^(Worksheet!$B$20+4)*Worksheet!$G$10)/Worksheet!$G$5*Request!$E13,0),(IF(AND(Request!$U$4="Multi",Request!$T$4="PY"),ROUND(Request!$E13*((1+Request!$O13)^4)/Worksheet!$G$5*Worksheet!$G$5,0),(IF(AND(Request!$U$4&lt;&gt;"Multi",Request!$T$4="FY"),ROUND(((1+Request!$U$4)^(Worksheet!$B$20+3)*Worksheet!$G$9+(1+Request!$U$4)^(Worksheet!$B$20+4)*Worksheet!$G$10)/Worksheet!$G$5*Request!$E13,0),ROUND(Request!$E13*((1+Request!$U$4)^4)/Worksheet!$G$5*Worksheet!$G$5,0))))))),(IF(AND(Request!$U$4="Multi",Request!$T$4="FY"),ROUND(((1+Request!$O13)^(Worksheet!$B$20+4)*Worksheet!$G$9+(1+Request!$O13)^(Worksheet!$B$20+5)*Worksheet!$G$10)/Worksheet!$G$5*Request!$E13,0),(IF(AND(Request!$U$4="Multi",Request!$T$4="PY"),ROUND(Request!$E13*((1+Request!$O13)^4)/Worksheet!$G$5*Worksheet!$G$5,0),(IF(AND(Request!$U$4&lt;&gt;"Multi",Request!$T$4="FY"),ROUND(((1+Request!$U$4)^(Worksheet!$B$20+4)*Worksheet!$G$9+(1+Request!$U$4)^(Worksheet!$B$20+5)*Worksheet!$G$10)/Worksheet!$G$5*Request!$E13,0),ROUND(Request!$E13*((1+Request!$U$4)^4)/Worksheet!$G$5*Worksheet!$G$5,0)))))))))</f>
        <v>0</v>
      </c>
      <c r="K394" s="330"/>
      <c r="L394" s="307">
        <f ca="1">IF(Worksheet!$C$5=0,"",IF(AND(Request!$U$4="Multi",Request!$T$4="FY"),ROUND(((1+Request!$O13)^Worksheet!$B$20*Worksheet!$C$9+(1+Request!$O13)^(Worksheet!$B$20+1)*Worksheet!$C$10)/(Worksheet!$C$5)*Request!$G13,0),(IF(AND(Request!$U$4="Multi",Request!$T$4="PY"),ROUND(Request!$G13/(Worksheet!$C$5)*Worksheet!$C$5,0),(IF(AND(Request!$U$4&lt;&gt;"Multi",Request!$T$4="FY"),ROUND(((1+Request!$U$4)^Worksheet!$B$20*Worksheet!$C$9+(1+Request!$U$4)^(Worksheet!$B$20+1)*Worksheet!$C$10)/Worksheet!$C$5*Request!$G13,0),ROUND(Request!$G13/Worksheet!$C$5*Worksheet!$C$5,0)))))))</f>
        <v>0</v>
      </c>
      <c r="M394" s="307"/>
      <c r="N394" s="307">
        <f ca="1">IF(Worksheet!$D$5=0,"",IF($C$4=$D$4,(IF(AND(Request!$U$4="Multi",Request!$T$4="FY"),ROUND(((1+Request!$O13)^(Worksheet!$B$20)*Worksheet!$D$9+(1+Request!$O13)^(Worksheet!$B$20+1)*Worksheet!$D$10)/Worksheet!$D$5*Request!$G13,0),(IF(AND(Request!$U$4="Multi",Request!$T$4="PY"),ROUND(Request!$G13*(1+Request!$O13)/Worksheet!$D$5*Worksheet!$D$5,0),(IF(AND(Request!$U$4&lt;&gt;"Multi",Request!$T$4="FY"),ROUND(((1+Request!$U$4)^(Worksheet!$B$20)*Worksheet!$D$9+(1+Request!$U$4)^(Worksheet!$B$20+1)*Worksheet!$D$10)/Worksheet!$D$5*Request!$G13,0),ROUND(Request!$G13*(1+Request!$U$4)/Worksheet!$D$5*Worksheet!$D$5,0))))))),(IF(AND(Request!$U$4="Multi",Request!$T$4="FY"),ROUND(((1+Request!$O13)^(Worksheet!$B$20+1)*Worksheet!$D$9+(1+Request!$O13)^(Worksheet!$B$20+2)*Worksheet!$D$10)/Worksheet!$D$5*Request!$G13,0),(IF(AND(Request!$U$4="Multi",Request!$T$4="PY"),ROUND(Request!$G13*(1+Request!$O13)/Worksheet!$D$5*Worksheet!$D$5,0),(IF(AND(Request!$U$4&lt;&gt;"Multi",Request!$T$4="FY"),ROUND(((1+Request!$U$4)^(Worksheet!$B$20+1)*Worksheet!$D$9+(1+Request!$U$4)^(Worksheet!$B$20+2)*Worksheet!$D$10)/Worksheet!$D$5*Request!$G13,0),ROUND(Request!$G13*(1+Request!$U$4)/Worksheet!$D$5*Worksheet!$D$5,0)))))))))</f>
        <v>0</v>
      </c>
      <c r="O394" s="307"/>
      <c r="P394" s="307">
        <f ca="1">IF(Worksheet!$E$5=0,"",IF($C$4=$D$4,(IF(AND(Request!$U$4="Multi",Request!$T$4="FY"),ROUND(((1+Request!$O13)^(Worksheet!$B$20+1)*Worksheet!$E$9+(1+Request!$O13)^(Worksheet!$B$20+2)*Worksheet!$E$10)/Worksheet!$E$5*Request!$G13,0),(IF(AND(Request!$U$4="Multi",Request!$T$4="PY"),ROUND(Request!$G13*((1+Request!$O13)^2)/Worksheet!$E$5*Worksheet!$E$5,0),(IF(AND(Request!$U$4&lt;&gt;"Multi",Request!$T$4="FY"),ROUND(((1+Request!$U$4)^(Worksheet!$B$20+1)*Worksheet!$E$9+(1+Request!$U$4)^(Worksheet!$B$20+2)*Worksheet!$E$10)/Worksheet!$E$5*Request!$G13,0),ROUND(Request!$G13*((1+Request!$U$4)^2)/Worksheet!$E$5*Worksheet!$E$5,0))))))),(IF(AND(Request!$U$4="Multi",Request!$T$4="FY"),ROUND(((1+Request!$O13)^(Worksheet!$B$20+2)*Worksheet!$E$9+(1+Request!$O13)^(Worksheet!$B$20+3)*Worksheet!$E$10)/Worksheet!$E$5*Request!$G13,0),(IF(AND(Request!$U$4="Multi",Request!$T$4="PY"),ROUND(Request!$G13*((1+Request!$O13)^2)/Worksheet!$E$5*Worksheet!$E$5,0),(IF(AND(Request!$U$4&lt;&gt;"Multi",Request!$T$4="FY"),ROUND(((1+Request!$U$4)^(Worksheet!$B$20+2)*Worksheet!$E$9+(1+Request!$U$4)^(Worksheet!$B$20+3)*Worksheet!$E$10)/Worksheet!$E$5*Request!$G13,0),ROUND(Request!$G13*((1+Request!$U$4)^2)/Worksheet!$E$5*Worksheet!$E$5,0)))))))))</f>
        <v>0</v>
      </c>
      <c r="Q394" s="307"/>
      <c r="R394" s="307">
        <f ca="1">IF(Worksheet!$F$5=0,"",IF($C$4=$D$4,(IF(AND(Request!$U$4="Multi",Request!$T$4="FY"),ROUND(((1+Request!$O13)^(Worksheet!$B$20+2)*Worksheet!$F$9+(1+Request!$O13)^(Worksheet!$B$20+3)*Worksheet!$F$10)/Worksheet!$F$5*Request!$G13,0),(IF(AND(Request!$U$4="Multi",Request!$T$4="PY"),ROUND(Request!$G13*((1+Request!$O13)^3)/Worksheet!$F$5*Worksheet!$F$5,0),(IF(AND(Request!$U$4&lt;&gt;"Multi",Request!$T$4="FY"),ROUND(((1+Request!$U$4)^(Worksheet!$B$20+2)*Worksheet!$F$9+(1+Request!$U$4)^(Worksheet!$B$20+3)*Worksheet!$F$10)/Worksheet!$F$5*Request!$G13,0),ROUND(Request!$G13*((1+Request!$U$4)^3)/Worksheet!$F$5*Worksheet!$F$5,0))))))),(IF(AND(Request!$U$4="Multi",Request!$T$4="FY"),ROUND(((1+Request!$O13)^(Worksheet!$B$20+3)*Worksheet!$F$9+(1+Request!$O13)^(Worksheet!$B$20+4)*Worksheet!$F$10)/Worksheet!$F$5*Request!$G13,0),(IF(AND(Request!$U$4="Multi",Request!$T$4="PY"),ROUND(Request!$G13*((1+Request!$O13)^3)/Worksheet!$F$5*Worksheet!$F$5,0),(IF(AND(Request!$U$4&lt;&gt;"Multi",Request!$T$4="FY"),ROUND(((1+Request!$U$4)^(Worksheet!$B$20+3)*Worksheet!$F$9+(1+Request!$U$4)^(Worksheet!$B$20+4)*Worksheet!$F$10)/Worksheet!$F$5*Request!$G13,0),ROUND(Request!$G13*((1+Request!$U$4)^3)/Worksheet!$F$5*Worksheet!$F$5,0)))))))))</f>
        <v>0</v>
      </c>
      <c r="S394" s="307"/>
      <c r="T394" s="307">
        <f ca="1">IF(Worksheet!$G$5=0,"",IF($C$4=$D$4,(IF(AND(Request!$U$4="Multi",Request!$T$4="FY"),ROUND(((1+Request!$O13)^(Worksheet!$B$20+3)*Worksheet!$G$9+(1+Request!$O13)^(Worksheet!$B$20+4)*Worksheet!$G$10)/Worksheet!$G$5*Request!$G13,0),(IF(AND(Request!$U$4="Multi",Request!$T$4="PY"),ROUND(Request!$G13*((1+Request!$O13)^4)/Worksheet!$G$5*Worksheet!$G$5,0),(IF(AND(Request!$U$4&lt;&gt;"Multi",Request!$T$4="FY"),ROUND(((1+Request!$U$4)^(Worksheet!$B$20+3)*Worksheet!$G$9+(1+Request!$U$4)^(Worksheet!$B$20+4)*Worksheet!$G$10)/Worksheet!$G$5*Request!$G13,0),ROUND(Request!$G13*((1+Request!$U$4)^4)/Worksheet!$G$5*Worksheet!$G$5,0))))))),(IF(AND(Request!$U$4="Multi",Request!$T$4="FY"),ROUND(((1+Request!$O13)^(Worksheet!$B$20+4)*Worksheet!$G$9+(1+Request!$O13)^(Worksheet!$B$20+5)*Worksheet!$G$10)/Worksheet!$G$5*Request!$G13,0),(IF(AND(Request!$U$4="Multi",Request!$T$4="PY"),ROUND(Request!$G13*((1+Request!$O13)^4)/Worksheet!$G$5*Worksheet!$G$5,0),(IF(AND(Request!$U$4&lt;&gt;"Multi",Request!$T$4="FY"),ROUND(((1+Request!$U$4)^(Worksheet!$B$20+4)*Worksheet!$G$9+(1+Request!$U$4)^(Worksheet!$B$20+5)*Worksheet!$G$10)/Worksheet!$G$5*Request!$G13,0),ROUND(Request!$G13*((1+Request!$U$4)^4)/Worksheet!$G$5*Worksheet!$G$5,0)))))))))</f>
        <v>0</v>
      </c>
      <c r="U394" s="307"/>
    </row>
    <row r="395" spans="1:21" x14ac:dyDescent="0.2">
      <c r="A395" s="71">
        <f>'Personnel Reference'!B10</f>
        <v>0</v>
      </c>
      <c r="B395" s="329">
        <f ca="1">IF(Worksheet!$C$5=0,"",IF(AND(Request!$U$4="Multi",Request!$T$4="FY"),ROUND(((1+Request!$O14)^Worksheet!$B$20*Worksheet!$C$9+(1+Request!$O14)^(Worksheet!$B$20+1)*Worksheet!$C$10)/(Worksheet!$C$5)*Request!$E14,0),(IF(AND(Request!$U$4="Multi",Request!$T$4="PY"),ROUND(Request!$E14/(Worksheet!$C$5)*Worksheet!$C$5,0),(IF(AND(Request!$U$4&lt;&gt;"Multi",Request!$T$4="FY"),ROUND(((1+Request!$U$4)^Worksheet!$B$20*Worksheet!$C$9+(1+Request!$U$4)^(Worksheet!$B$20+1)*Worksheet!$C$10)/Worksheet!$C$5*Request!$E14,0),ROUND(Request!$E14/Worksheet!$C$5*Worksheet!$C$5,0)))))))</f>
        <v>0</v>
      </c>
      <c r="C395" s="330"/>
      <c r="D395" s="329">
        <f ca="1">IF(Worksheet!$D$5=0,"",IF($C$4=$D$4,(IF(AND(Request!$U$4="Multi",Request!$T$4="FY"),ROUND(((1+Request!$O14)^(Worksheet!$B$20)*Worksheet!$D$9+(1+Request!$O14)^(Worksheet!$B$20+1)*Worksheet!$D$10)/Worksheet!$D$5*Request!$E14,0),(IF(AND(Request!$U$4="Multi",Request!$T$4="PY"),ROUND(Request!$E14*(1+Request!$O14)/Worksheet!$D$5*Worksheet!$D$5,0),(IF(AND(Request!$U$4&lt;&gt;"Multi",Request!$T$4="FY"),ROUND(((1+Request!$U$4)^(Worksheet!$B$20)*Worksheet!$D$9+(1+Request!$U$4)^(Worksheet!$B$20+1)*Worksheet!$D$10)/Worksheet!$D$5*Request!$E14,0),ROUND(Request!$E14*(1+Request!$U$4)/Worksheet!$D$5*Worksheet!$D$5,0))))))),(IF(AND(Request!$U$4="Multi",Request!$T$4="FY"),ROUND(((1+Request!$O14)^(Worksheet!$B$20+1)*Worksheet!$D$9+(1+Request!$O14)^(Worksheet!$B$20+2)*Worksheet!$D$10)/Worksheet!$D$5*Request!$E14,0),(IF(AND(Request!$U$4="Multi",Request!$T$4="PY"),ROUND(Request!$E14*(1+Request!$O14)/Worksheet!$D$5*Worksheet!$D$5,0),(IF(AND(Request!$U$4&lt;&gt;"Multi",Request!$T$4="FY"),ROUND(((1+Request!$U$4)^(Worksheet!$B$20+1)*Worksheet!$D$9+(1+Request!$U$4)^(Worksheet!$B$20+2)*Worksheet!$D$10)/Worksheet!$D$5*Request!$E14,0),ROUND(Request!$E14*(1+Request!$U$4)/Worksheet!$D$5*Worksheet!$D$5,0)))))))))</f>
        <v>0</v>
      </c>
      <c r="E395" s="330"/>
      <c r="F395" s="329">
        <f ca="1">IF(Worksheet!$E$5=0,"",IF($C$4=$D$4,(IF(AND(Request!$U$4="Multi",Request!$T$4="FY"),ROUND(((1+Request!$O14)^(Worksheet!$B$20+1)*Worksheet!$E$9+(1+Request!$O14)^(Worksheet!$B$20+3)*Worksheet!$E$10)/Worksheet!$E$5*Request!$E14,0),(IF(AND(Request!$U$4="Multi",Request!$T$4="PY"),ROUND(Request!$E14*((1+Request!$O14)^2)/Worksheet!$E$5*Worksheet!$E$5,0),(IF(AND(Request!$U$4&lt;&gt;"Multi",Request!$T$4="FY"),ROUND(((1+Request!$U$4)^(Worksheet!$B$20+1)*Worksheet!$E$9+(1+Request!$U$4)^(Worksheet!$B$20+2)*Worksheet!$E$10)/Worksheet!$E$5*Request!$E14,0),ROUND(Request!$E14*((1+Request!$U$4)^2)/Worksheet!$E$5*Worksheet!$E$5,0))))))),(IF(AND(Request!$U$4="Multi",Request!$T$4="FY"),ROUND(((1+Request!$O14)^(Worksheet!$B$20+2)*Worksheet!$E$9+(1+Request!$O14)^(Worksheet!$B$20+3)*Worksheet!$E$10)/Worksheet!$E$5*Request!$E14,0),(IF(AND(Request!$U$4="Multi",Request!$T$4="PY"),ROUND(Request!$E14*((1+Request!$O14)^2)/Worksheet!$E$5*Worksheet!$E$5,0),(IF(AND(Request!$U$4&lt;&gt;"Multi",Request!$T$4="FY"),ROUND(((1+Request!$U$4)^(Worksheet!$B$20+2)*Worksheet!$E$9+(1+Request!$U$4)^(Worksheet!$B$20+3)*Worksheet!$E$10)/Worksheet!$E$5*Request!$E14,0),ROUND(Request!$E14*((1+Request!$U$4)^2)/Worksheet!$E$5*Worksheet!$E$5,0)))))))))</f>
        <v>0</v>
      </c>
      <c r="G395" s="330"/>
      <c r="H395" s="329">
        <f ca="1">IF(Worksheet!$F$5=0,"",IF($C$4=$D$4,(IF(AND(Request!$U$4="Multi",Request!$T$4="FY"),ROUND(((1+Request!$O14)^(Worksheet!$B$20+2)*Worksheet!$F$9+(1+Request!$O14)^(Worksheet!$B$20+3)*Worksheet!$F$10)/Worksheet!$F$5*Request!$E14,0),(IF(AND(Request!$U$4="Multi",Request!$T$4="PY"),ROUND(Request!$E14*((1+Request!$O14)^3)/Worksheet!$F$5*Worksheet!$F$5,0),(IF(AND(Request!$U$4&lt;&gt;"Multi",Request!$T$4="FY"),ROUND(((1+Request!$U$4)^(Worksheet!$B$20+2)*Worksheet!$F$9+(1+Request!$U$4)^(Worksheet!$B$20+3)*Worksheet!$F$10)/Worksheet!$F$5*Request!$E14,0),ROUND(Request!$E14*((1+Request!$U$4)^3)/Worksheet!$F$5*Worksheet!$F$5,0))))))),(IF(AND(Request!$U$4="Multi",Request!$T$4="FY"),ROUND(((1+Request!$O14)^(Worksheet!$B$20+3)*Worksheet!$F$9+(1+Request!$O14)^(Worksheet!$B$20+4)*Worksheet!$F$10)/Worksheet!$F$5*Request!$E14,0),(IF(AND(Request!$U$4="Multi",Request!$T$4="PY"),ROUND(Request!$E14*((1+Request!$O14)^3)/Worksheet!$F$5*Worksheet!$F$5,0),(IF(AND(Request!$U$4&lt;&gt;"Multi",Request!$T$4="FY"),ROUND(((1+Request!$U$4)^(Worksheet!$B$20+3)*Worksheet!$F$9+(1+Request!$U$4)^(Worksheet!$B$20+4)*Worksheet!$F$10)/Worksheet!$F$5*Request!$E14,0),ROUND(Request!$E14*((1+Request!$U$4)^3)/Worksheet!$F$5*Worksheet!$F$5,0)))))))))</f>
        <v>0</v>
      </c>
      <c r="I395" s="330"/>
      <c r="J395" s="329">
        <f ca="1">IF(Worksheet!$G$5=0,"",IF($C$4=$D$4,(IF(AND(Request!$U$4="Multi",Request!$T$4="FY"),ROUND(((1+Request!$O14)^(Worksheet!$B$20+3)*Worksheet!$G$9+(1+Request!$O14)^(Worksheet!$B$20+4)*Worksheet!$G$10)/Worksheet!$G$5*Request!$E14,0),(IF(AND(Request!$U$4="Multi",Request!$T$4="PY"),ROUND(Request!$E14*((1+Request!$O14)^4)/Worksheet!$G$5*Worksheet!$G$5,0),(IF(AND(Request!$U$4&lt;&gt;"Multi",Request!$T$4="FY"),ROUND(((1+Request!$U$4)^(Worksheet!$B$20+3)*Worksheet!$G$9+(1+Request!$U$4)^(Worksheet!$B$20+4)*Worksheet!$G$10)/Worksheet!$G$5*Request!$E14,0),ROUND(Request!$E14*((1+Request!$U$4)^4)/Worksheet!$G$5*Worksheet!$G$5,0))))))),(IF(AND(Request!$U$4="Multi",Request!$T$4="FY"),ROUND(((1+Request!$O14)^(Worksheet!$B$20+4)*Worksheet!$G$9+(1+Request!$O14)^(Worksheet!$B$20+5)*Worksheet!$G$10)/Worksheet!$G$5*Request!$E14,0),(IF(AND(Request!$U$4="Multi",Request!$T$4="PY"),ROUND(Request!$E14*((1+Request!$O14)^4)/Worksheet!$G$5*Worksheet!$G$5,0),(IF(AND(Request!$U$4&lt;&gt;"Multi",Request!$T$4="FY"),ROUND(((1+Request!$U$4)^(Worksheet!$B$20+4)*Worksheet!$G$9+(1+Request!$U$4)^(Worksheet!$B$20+5)*Worksheet!$G$10)/Worksheet!$G$5*Request!$E14,0),ROUND(Request!$E14*((1+Request!$U$4)^4)/Worksheet!$G$5*Worksheet!$G$5,0)))))))))</f>
        <v>0</v>
      </c>
      <c r="K395" s="330"/>
      <c r="L395" s="307">
        <f ca="1">IF(Worksheet!$C$5=0,"",IF(AND(Request!$U$4="Multi",Request!$T$4="FY"),ROUND(((1+Request!$O14)^Worksheet!$B$20*Worksheet!$C$9+(1+Request!$O14)^(Worksheet!$B$20+1)*Worksheet!$C$10)/(Worksheet!$C$5)*Request!$G14,0),(IF(AND(Request!$U$4="Multi",Request!$T$4="PY"),ROUND(Request!$G14/(Worksheet!$C$5)*Worksheet!$C$5,0),(IF(AND(Request!$U$4&lt;&gt;"Multi",Request!$T$4="FY"),ROUND(((1+Request!$U$4)^Worksheet!$B$20*Worksheet!$C$9+(1+Request!$U$4)^(Worksheet!$B$20+1)*Worksheet!$C$10)/Worksheet!$C$5*Request!$G14,0),ROUND(Request!$G14/Worksheet!$C$5*Worksheet!$C$5,0)))))))</f>
        <v>0</v>
      </c>
      <c r="M395" s="307"/>
      <c r="N395" s="307">
        <f ca="1">IF(Worksheet!$D$5=0,"",IF($C$4=$D$4,(IF(AND(Request!$U$4="Multi",Request!$T$4="FY"),ROUND(((1+Request!$O14)^(Worksheet!$B$20)*Worksheet!$D$9+(1+Request!$O14)^(Worksheet!$B$20+1)*Worksheet!$D$10)/Worksheet!$D$5*Request!$G14,0),(IF(AND(Request!$U$4="Multi",Request!$T$4="PY"),ROUND(Request!$G14*(1+Request!$O14)/Worksheet!$D$5*Worksheet!$D$5,0),(IF(AND(Request!$U$4&lt;&gt;"Multi",Request!$T$4="FY"),ROUND(((1+Request!$U$4)^(Worksheet!$B$20)*Worksheet!$D$9+(1+Request!$U$4)^(Worksheet!$B$20+1)*Worksheet!$D$10)/Worksheet!$D$5*Request!$G14,0),ROUND(Request!$G14*(1+Request!$U$4)/Worksheet!$D$5*Worksheet!$D$5,0))))))),(IF(AND(Request!$U$4="Multi",Request!$T$4="FY"),ROUND(((1+Request!$O14)^(Worksheet!$B$20+1)*Worksheet!$D$9+(1+Request!$O14)^(Worksheet!$B$20+2)*Worksheet!$D$10)/Worksheet!$D$5*Request!$G14,0),(IF(AND(Request!$U$4="Multi",Request!$T$4="PY"),ROUND(Request!$G14*(1+Request!$O14)/Worksheet!$D$5*Worksheet!$D$5,0),(IF(AND(Request!$U$4&lt;&gt;"Multi",Request!$T$4="FY"),ROUND(((1+Request!$U$4)^(Worksheet!$B$20+1)*Worksheet!$D$9+(1+Request!$U$4)^(Worksheet!$B$20+2)*Worksheet!$D$10)/Worksheet!$D$5*Request!$G14,0),ROUND(Request!$G14*(1+Request!$U$4)/Worksheet!$D$5*Worksheet!$D$5,0)))))))))</f>
        <v>0</v>
      </c>
      <c r="O395" s="307"/>
      <c r="P395" s="307">
        <f ca="1">IF(Worksheet!$E$5=0,"",IF($C$4=$D$4,(IF(AND(Request!$U$4="Multi",Request!$T$4="FY"),ROUND(((1+Request!$O14)^(Worksheet!$B$20+1)*Worksheet!$E$9+(1+Request!$O14)^(Worksheet!$B$20+2)*Worksheet!$E$10)/Worksheet!$E$5*Request!$G14,0),(IF(AND(Request!$U$4="Multi",Request!$T$4="PY"),ROUND(Request!$G14*((1+Request!$O14)^2)/Worksheet!$E$5*Worksheet!$E$5,0),(IF(AND(Request!$U$4&lt;&gt;"Multi",Request!$T$4="FY"),ROUND(((1+Request!$U$4)^(Worksheet!$B$20+1)*Worksheet!$E$9+(1+Request!$U$4)^(Worksheet!$B$20+2)*Worksheet!$E$10)/Worksheet!$E$5*Request!$G14,0),ROUND(Request!$G14*((1+Request!$U$4)^2)/Worksheet!$E$5*Worksheet!$E$5,0))))))),(IF(AND(Request!$U$4="Multi",Request!$T$4="FY"),ROUND(((1+Request!$O14)^(Worksheet!$B$20+2)*Worksheet!$E$9+(1+Request!$O14)^(Worksheet!$B$20+3)*Worksheet!$E$10)/Worksheet!$E$5*Request!$G14,0),(IF(AND(Request!$U$4="Multi",Request!$T$4="PY"),ROUND(Request!$G14*((1+Request!$O14)^2)/Worksheet!$E$5*Worksheet!$E$5,0),(IF(AND(Request!$U$4&lt;&gt;"Multi",Request!$T$4="FY"),ROUND(((1+Request!$U$4)^(Worksheet!$B$20+2)*Worksheet!$E$9+(1+Request!$U$4)^(Worksheet!$B$20+3)*Worksheet!$E$10)/Worksheet!$E$5*Request!$G14,0),ROUND(Request!$G14*((1+Request!$U$4)^2)/Worksheet!$E$5*Worksheet!$E$5,0)))))))))</f>
        <v>0</v>
      </c>
      <c r="Q395" s="307"/>
      <c r="R395" s="307">
        <f ca="1">IF(Worksheet!$F$5=0,"",IF($C$4=$D$4,(IF(AND(Request!$U$4="Multi",Request!$T$4="FY"),ROUND(((1+Request!$O14)^(Worksheet!$B$20+2)*Worksheet!$F$9+(1+Request!$O14)^(Worksheet!$B$20+3)*Worksheet!$F$10)/Worksheet!$F$5*Request!$G14,0),(IF(AND(Request!$U$4="Multi",Request!$T$4="PY"),ROUND(Request!$G14*((1+Request!$O14)^3)/Worksheet!$F$5*Worksheet!$F$5,0),(IF(AND(Request!$U$4&lt;&gt;"Multi",Request!$T$4="FY"),ROUND(((1+Request!$U$4)^(Worksheet!$B$20+2)*Worksheet!$F$9+(1+Request!$U$4)^(Worksheet!$B$20+3)*Worksheet!$F$10)/Worksheet!$F$5*Request!$G14,0),ROUND(Request!$G14*((1+Request!$U$4)^3)/Worksheet!$F$5*Worksheet!$F$5,0))))))),(IF(AND(Request!$U$4="Multi",Request!$T$4="FY"),ROUND(((1+Request!$O14)^(Worksheet!$B$20+3)*Worksheet!$F$9+(1+Request!$O14)^(Worksheet!$B$20+4)*Worksheet!$F$10)/Worksheet!$F$5*Request!$G14,0),(IF(AND(Request!$U$4="Multi",Request!$T$4="PY"),ROUND(Request!$G14*((1+Request!$O14)^3)/Worksheet!$F$5*Worksheet!$F$5,0),(IF(AND(Request!$U$4&lt;&gt;"Multi",Request!$T$4="FY"),ROUND(((1+Request!$U$4)^(Worksheet!$B$20+3)*Worksheet!$F$9+(1+Request!$U$4)^(Worksheet!$B$20+4)*Worksheet!$F$10)/Worksheet!$F$5*Request!$G14,0),ROUND(Request!$G14*((1+Request!$U$4)^3)/Worksheet!$F$5*Worksheet!$F$5,0)))))))))</f>
        <v>0</v>
      </c>
      <c r="S395" s="307"/>
      <c r="T395" s="307">
        <f ca="1">IF(Worksheet!$G$5=0,"",IF($C$4=$D$4,(IF(AND(Request!$U$4="Multi",Request!$T$4="FY"),ROUND(((1+Request!$O14)^(Worksheet!$B$20+3)*Worksheet!$G$9+(1+Request!$O14)^(Worksheet!$B$20+4)*Worksheet!$G$10)/Worksheet!$G$5*Request!$G14,0),(IF(AND(Request!$U$4="Multi",Request!$T$4="PY"),ROUND(Request!$G14*((1+Request!$O14)^4)/Worksheet!$G$5*Worksheet!$G$5,0),(IF(AND(Request!$U$4&lt;&gt;"Multi",Request!$T$4="FY"),ROUND(((1+Request!$U$4)^(Worksheet!$B$20+3)*Worksheet!$G$9+(1+Request!$U$4)^(Worksheet!$B$20+4)*Worksheet!$G$10)/Worksheet!$G$5*Request!$G14,0),ROUND(Request!$G14*((1+Request!$U$4)^4)/Worksheet!$G$5*Worksheet!$G$5,0))))))),(IF(AND(Request!$U$4="Multi",Request!$T$4="FY"),ROUND(((1+Request!$O14)^(Worksheet!$B$20+4)*Worksheet!$G$9+(1+Request!$O14)^(Worksheet!$B$20+5)*Worksheet!$G$10)/Worksheet!$G$5*Request!$G14,0),(IF(AND(Request!$U$4="Multi",Request!$T$4="PY"),ROUND(Request!$G14*((1+Request!$O14)^4)/Worksheet!$G$5*Worksheet!$G$5,0),(IF(AND(Request!$U$4&lt;&gt;"Multi",Request!$T$4="FY"),ROUND(((1+Request!$U$4)^(Worksheet!$B$20+4)*Worksheet!$G$9+(1+Request!$U$4)^(Worksheet!$B$20+5)*Worksheet!$G$10)/Worksheet!$G$5*Request!$G14,0),ROUND(Request!$G14*((1+Request!$U$4)^4)/Worksheet!$G$5*Worksheet!$G$5,0)))))))))</f>
        <v>0</v>
      </c>
      <c r="U395" s="307"/>
    </row>
    <row r="396" spans="1:21" x14ac:dyDescent="0.2">
      <c r="A396" s="71">
        <f>'Personnel Reference'!B11</f>
        <v>0</v>
      </c>
      <c r="B396" s="329">
        <f ca="1">IF(Worksheet!$C$5=0,"",IF(AND(Request!$U$4="Multi",Request!$T$4="FY"),ROUND(((1+Request!$O15)^Worksheet!$B$20*Worksheet!$C$9+(1+Request!$O15)^(Worksheet!$B$20+1)*Worksheet!$C$10)/(Worksheet!$C$5)*Request!$E15,0),(IF(AND(Request!$U$4="Multi",Request!$T$4="PY"),ROUND(Request!$E15/(Worksheet!$C$5)*Worksheet!$C$5,0),(IF(AND(Request!$U$4&lt;&gt;"Multi",Request!$T$4="FY"),ROUND(((1+Request!$U$4)^Worksheet!$B$20*Worksheet!$C$9+(1+Request!$U$4)^(Worksheet!$B$20+1)*Worksheet!$C$10)/Worksheet!$C$5*Request!$E15,0),ROUND(Request!$E15/Worksheet!$C$5*Worksheet!$C$5,0)))))))</f>
        <v>0</v>
      </c>
      <c r="C396" s="330"/>
      <c r="D396" s="329">
        <f ca="1">IF(Worksheet!$D$5=0,"",IF($C$4=$D$4,(IF(AND(Request!$U$4="Multi",Request!$T$4="FY"),ROUND(((1+Request!$O15)^(Worksheet!$B$20)*Worksheet!$D$9+(1+Request!$O15)^(Worksheet!$B$20+1)*Worksheet!$D$10)/Worksheet!$D$5*Request!$E15,0),(IF(AND(Request!$U$4="Multi",Request!$T$4="PY"),ROUND(Request!$E15*(1+Request!$O15)/Worksheet!$D$5*Worksheet!$D$5,0),(IF(AND(Request!$U$4&lt;&gt;"Multi",Request!$T$4="FY"),ROUND(((1+Request!$U$4)^(Worksheet!$B$20)*Worksheet!$D$9+(1+Request!$U$4)^(Worksheet!$B$20+1)*Worksheet!$D$10)/Worksheet!$D$5*Request!$E15,0),ROUND(Request!$E15*(1+Request!$U$4)/Worksheet!$D$5*Worksheet!$D$5,0))))))),(IF(AND(Request!$U$4="Multi",Request!$T$4="FY"),ROUND(((1+Request!$O15)^(Worksheet!$B$20+1)*Worksheet!$D$9+(1+Request!$O15)^(Worksheet!$B$20+2)*Worksheet!$D$10)/Worksheet!$D$5*Request!$E15,0),(IF(AND(Request!$U$4="Multi",Request!$T$4="PY"),ROUND(Request!$E15*(1+Request!$O15)/Worksheet!$D$5*Worksheet!$D$5,0),(IF(AND(Request!$U$4&lt;&gt;"Multi",Request!$T$4="FY"),ROUND(((1+Request!$U$4)^(Worksheet!$B$20+1)*Worksheet!$D$9+(1+Request!$U$4)^(Worksheet!$B$20+2)*Worksheet!$D$10)/Worksheet!$D$5*Request!$E15,0),ROUND(Request!$E15*(1+Request!$U$4)/Worksheet!$D$5*Worksheet!$D$5,0)))))))))</f>
        <v>0</v>
      </c>
      <c r="E396" s="330"/>
      <c r="F396" s="329">
        <f ca="1">IF(Worksheet!$E$5=0,"",IF($C$4=$D$4,(IF(AND(Request!$U$4="Multi",Request!$T$4="FY"),ROUND(((1+Request!$O15)^(Worksheet!$B$20+1)*Worksheet!$E$9+(1+Request!$O15)^(Worksheet!$B$20+3)*Worksheet!$E$10)/Worksheet!$E$5*Request!$E15,0),(IF(AND(Request!$U$4="Multi",Request!$T$4="PY"),ROUND(Request!$E15*((1+Request!$O15)^2)/Worksheet!$E$5*Worksheet!$E$5,0),(IF(AND(Request!$U$4&lt;&gt;"Multi",Request!$T$4="FY"),ROUND(((1+Request!$U$4)^(Worksheet!$B$20+1)*Worksheet!$E$9+(1+Request!$U$4)^(Worksheet!$B$20+2)*Worksheet!$E$10)/Worksheet!$E$5*Request!$E15,0),ROUND(Request!$E15*((1+Request!$U$4)^2)/Worksheet!$E$5*Worksheet!$E$5,0))))))),(IF(AND(Request!$U$4="Multi",Request!$T$4="FY"),ROUND(((1+Request!$O15)^(Worksheet!$B$20+2)*Worksheet!$E$9+(1+Request!$O15)^(Worksheet!$B$20+3)*Worksheet!$E$10)/Worksheet!$E$5*Request!$E15,0),(IF(AND(Request!$U$4="Multi",Request!$T$4="PY"),ROUND(Request!$E15*((1+Request!$O15)^2)/Worksheet!$E$5*Worksheet!$E$5,0),(IF(AND(Request!$U$4&lt;&gt;"Multi",Request!$T$4="FY"),ROUND(((1+Request!$U$4)^(Worksheet!$B$20+2)*Worksheet!$E$9+(1+Request!$U$4)^(Worksheet!$B$20+3)*Worksheet!$E$10)/Worksheet!$E$5*Request!$E15,0),ROUND(Request!$E15*((1+Request!$U$4)^2)/Worksheet!$E$5*Worksheet!$E$5,0)))))))))</f>
        <v>0</v>
      </c>
      <c r="G396" s="330"/>
      <c r="H396" s="329">
        <f ca="1">IF(Worksheet!$F$5=0,"",IF($C$4=$D$4,(IF(AND(Request!$U$4="Multi",Request!$T$4="FY"),ROUND(((1+Request!$O15)^(Worksheet!$B$20+2)*Worksheet!$F$9+(1+Request!$O15)^(Worksheet!$B$20+3)*Worksheet!$F$10)/Worksheet!$F$5*Request!$E15,0),(IF(AND(Request!$U$4="Multi",Request!$T$4="PY"),ROUND(Request!$E15*((1+Request!$O15)^3)/Worksheet!$F$5*Worksheet!$F$5,0),(IF(AND(Request!$U$4&lt;&gt;"Multi",Request!$T$4="FY"),ROUND(((1+Request!$U$4)^(Worksheet!$B$20+2)*Worksheet!$F$9+(1+Request!$U$4)^(Worksheet!$B$20+3)*Worksheet!$F$10)/Worksheet!$F$5*Request!$E15,0),ROUND(Request!$E15*((1+Request!$U$4)^3)/Worksheet!$F$5*Worksheet!$F$5,0))))))),(IF(AND(Request!$U$4="Multi",Request!$T$4="FY"),ROUND(((1+Request!$O15)^(Worksheet!$B$20+3)*Worksheet!$F$9+(1+Request!$O15)^(Worksheet!$B$20+4)*Worksheet!$F$10)/Worksheet!$F$5*Request!$E15,0),(IF(AND(Request!$U$4="Multi",Request!$T$4="PY"),ROUND(Request!$E15*((1+Request!$O15)^3)/Worksheet!$F$5*Worksheet!$F$5,0),(IF(AND(Request!$U$4&lt;&gt;"Multi",Request!$T$4="FY"),ROUND(((1+Request!$U$4)^(Worksheet!$B$20+3)*Worksheet!$F$9+(1+Request!$U$4)^(Worksheet!$B$20+4)*Worksheet!$F$10)/Worksheet!$F$5*Request!$E15,0),ROUND(Request!$E15*((1+Request!$U$4)^3)/Worksheet!$F$5*Worksheet!$F$5,0)))))))))</f>
        <v>0</v>
      </c>
      <c r="I396" s="330"/>
      <c r="J396" s="329">
        <f ca="1">IF(Worksheet!$G$5=0,"",IF($C$4=$D$4,(IF(AND(Request!$U$4="Multi",Request!$T$4="FY"),ROUND(((1+Request!$O15)^(Worksheet!$B$20+3)*Worksheet!$G$9+(1+Request!$O15)^(Worksheet!$B$20+4)*Worksheet!$G$10)/Worksheet!$G$5*Request!$E15,0),(IF(AND(Request!$U$4="Multi",Request!$T$4="PY"),ROUND(Request!$E15*((1+Request!$O15)^4)/Worksheet!$G$5*Worksheet!$G$5,0),(IF(AND(Request!$U$4&lt;&gt;"Multi",Request!$T$4="FY"),ROUND(((1+Request!$U$4)^(Worksheet!$B$20+3)*Worksheet!$G$9+(1+Request!$U$4)^(Worksheet!$B$20+4)*Worksheet!$G$10)/Worksheet!$G$5*Request!$E15,0),ROUND(Request!$E15*((1+Request!$U$4)^4)/Worksheet!$G$5*Worksheet!$G$5,0))))))),(IF(AND(Request!$U$4="Multi",Request!$T$4="FY"),ROUND(((1+Request!$O15)^(Worksheet!$B$20+4)*Worksheet!$G$9+(1+Request!$O15)^(Worksheet!$B$20+5)*Worksheet!$G$10)/Worksheet!$G$5*Request!$E15,0),(IF(AND(Request!$U$4="Multi",Request!$T$4="PY"),ROUND(Request!$E15*((1+Request!$O15)^4)/Worksheet!$G$5*Worksheet!$G$5,0),(IF(AND(Request!$U$4&lt;&gt;"Multi",Request!$T$4="FY"),ROUND(((1+Request!$U$4)^(Worksheet!$B$20+4)*Worksheet!$G$9+(1+Request!$U$4)^(Worksheet!$B$20+5)*Worksheet!$G$10)/Worksheet!$G$5*Request!$E15,0),ROUND(Request!$E15*((1+Request!$U$4)^4)/Worksheet!$G$5*Worksheet!$G$5,0)))))))))</f>
        <v>0</v>
      </c>
      <c r="K396" s="330"/>
      <c r="L396" s="307">
        <f ca="1">IF(Worksheet!$C$5=0,"",IF(AND(Request!$U$4="Multi",Request!$T$4="FY"),ROUND(((1+Request!$O15)^Worksheet!$B$20*Worksheet!$C$9+(1+Request!$O15)^(Worksheet!$B$20+1)*Worksheet!$C$10)/(Worksheet!$C$5)*Request!$G15,0),(IF(AND(Request!$U$4="Multi",Request!$T$4="PY"),ROUND(Request!$G15/(Worksheet!$C$5)*Worksheet!$C$5,0),(IF(AND(Request!$U$4&lt;&gt;"Multi",Request!$T$4="FY"),ROUND(((1+Request!$U$4)^Worksheet!$B$20*Worksheet!$C$9+(1+Request!$U$4)^(Worksheet!$B$20+1)*Worksheet!$C$10)/Worksheet!$C$5*Request!$G15,0),ROUND(Request!$G15/Worksheet!$C$5*Worksheet!$C$5,0)))))))</f>
        <v>0</v>
      </c>
      <c r="M396" s="307"/>
      <c r="N396" s="307">
        <f ca="1">IF(Worksheet!$D$5=0,"",IF($C$4=$D$4,(IF(AND(Request!$U$4="Multi",Request!$T$4="FY"),ROUND(((1+Request!$O15)^(Worksheet!$B$20)*Worksheet!$D$9+(1+Request!$O15)^(Worksheet!$B$20+1)*Worksheet!$D$10)/Worksheet!$D$5*Request!$G15,0),(IF(AND(Request!$U$4="Multi",Request!$T$4="PY"),ROUND(Request!$G15*(1+Request!$O15)/Worksheet!$D$5*Worksheet!$D$5,0),(IF(AND(Request!$U$4&lt;&gt;"Multi",Request!$T$4="FY"),ROUND(((1+Request!$U$4)^(Worksheet!$B$20)*Worksheet!$D$9+(1+Request!$U$4)^(Worksheet!$B$20+1)*Worksheet!$D$10)/Worksheet!$D$5*Request!$G15,0),ROUND(Request!$G15*(1+Request!$U$4)/Worksheet!$D$5*Worksheet!$D$5,0))))))),(IF(AND(Request!$U$4="Multi",Request!$T$4="FY"),ROUND(((1+Request!$O15)^(Worksheet!$B$20+1)*Worksheet!$D$9+(1+Request!$O15)^(Worksheet!$B$20+2)*Worksheet!$D$10)/Worksheet!$D$5*Request!$G15,0),(IF(AND(Request!$U$4="Multi",Request!$T$4="PY"),ROUND(Request!$G15*(1+Request!$O15)/Worksheet!$D$5*Worksheet!$D$5,0),(IF(AND(Request!$U$4&lt;&gt;"Multi",Request!$T$4="FY"),ROUND(((1+Request!$U$4)^(Worksheet!$B$20+1)*Worksheet!$D$9+(1+Request!$U$4)^(Worksheet!$B$20+2)*Worksheet!$D$10)/Worksheet!$D$5*Request!$G15,0),ROUND(Request!$G15*(1+Request!$U$4)/Worksheet!$D$5*Worksheet!$D$5,0)))))))))</f>
        <v>0</v>
      </c>
      <c r="O396" s="307"/>
      <c r="P396" s="307">
        <f ca="1">IF(Worksheet!$E$5=0,"",IF($C$4=$D$4,(IF(AND(Request!$U$4="Multi",Request!$T$4="FY"),ROUND(((1+Request!$O15)^(Worksheet!$B$20+1)*Worksheet!$E$9+(1+Request!$O15)^(Worksheet!$B$20+2)*Worksheet!$E$10)/Worksheet!$E$5*Request!$G15,0),(IF(AND(Request!$U$4="Multi",Request!$T$4="PY"),ROUND(Request!$G15*((1+Request!$O15)^2)/Worksheet!$E$5*Worksheet!$E$5,0),(IF(AND(Request!$U$4&lt;&gt;"Multi",Request!$T$4="FY"),ROUND(((1+Request!$U$4)^(Worksheet!$B$20+1)*Worksheet!$E$9+(1+Request!$U$4)^(Worksheet!$B$20+2)*Worksheet!$E$10)/Worksheet!$E$5*Request!$G15,0),ROUND(Request!$G15*((1+Request!$U$4)^2)/Worksheet!$E$5*Worksheet!$E$5,0))))))),(IF(AND(Request!$U$4="Multi",Request!$T$4="FY"),ROUND(((1+Request!$O15)^(Worksheet!$B$20+2)*Worksheet!$E$9+(1+Request!$O15)^(Worksheet!$B$20+3)*Worksheet!$E$10)/Worksheet!$E$5*Request!$G15,0),(IF(AND(Request!$U$4="Multi",Request!$T$4="PY"),ROUND(Request!$G15*((1+Request!$O15)^2)/Worksheet!$E$5*Worksheet!$E$5,0),(IF(AND(Request!$U$4&lt;&gt;"Multi",Request!$T$4="FY"),ROUND(((1+Request!$U$4)^(Worksheet!$B$20+2)*Worksheet!$E$9+(1+Request!$U$4)^(Worksheet!$B$20+3)*Worksheet!$E$10)/Worksheet!$E$5*Request!$G15,0),ROUND(Request!$G15*((1+Request!$U$4)^2)/Worksheet!$E$5*Worksheet!$E$5,0)))))))))</f>
        <v>0</v>
      </c>
      <c r="Q396" s="307"/>
      <c r="R396" s="307">
        <f ca="1">IF(Worksheet!$F$5=0,"",IF($C$4=$D$4,(IF(AND(Request!$U$4="Multi",Request!$T$4="FY"),ROUND(((1+Request!$O15)^(Worksheet!$B$20+2)*Worksheet!$F$9+(1+Request!$O15)^(Worksheet!$B$20+3)*Worksheet!$F$10)/Worksheet!$F$5*Request!$G15,0),(IF(AND(Request!$U$4="Multi",Request!$T$4="PY"),ROUND(Request!$G15*((1+Request!$O15)^3)/Worksheet!$F$5*Worksheet!$F$5,0),(IF(AND(Request!$U$4&lt;&gt;"Multi",Request!$T$4="FY"),ROUND(((1+Request!$U$4)^(Worksheet!$B$20+2)*Worksheet!$F$9+(1+Request!$U$4)^(Worksheet!$B$20+3)*Worksheet!$F$10)/Worksheet!$F$5*Request!$G15,0),ROUND(Request!$G15*((1+Request!$U$4)^3)/Worksheet!$F$5*Worksheet!$F$5,0))))))),(IF(AND(Request!$U$4="Multi",Request!$T$4="FY"),ROUND(((1+Request!$O15)^(Worksheet!$B$20+3)*Worksheet!$F$9+(1+Request!$O15)^(Worksheet!$B$20+4)*Worksheet!$F$10)/Worksheet!$F$5*Request!$G15,0),(IF(AND(Request!$U$4="Multi",Request!$T$4="PY"),ROUND(Request!$G15*((1+Request!$O15)^3)/Worksheet!$F$5*Worksheet!$F$5,0),(IF(AND(Request!$U$4&lt;&gt;"Multi",Request!$T$4="FY"),ROUND(((1+Request!$U$4)^(Worksheet!$B$20+3)*Worksheet!$F$9+(1+Request!$U$4)^(Worksheet!$B$20+4)*Worksheet!$F$10)/Worksheet!$F$5*Request!$G15,0),ROUND(Request!$G15*((1+Request!$U$4)^3)/Worksheet!$F$5*Worksheet!$F$5,0)))))))))</f>
        <v>0</v>
      </c>
      <c r="S396" s="307"/>
      <c r="T396" s="307">
        <f ca="1">IF(Worksheet!$G$5=0,"",IF($C$4=$D$4,(IF(AND(Request!$U$4="Multi",Request!$T$4="FY"),ROUND(((1+Request!$O15)^(Worksheet!$B$20+3)*Worksheet!$G$9+(1+Request!$O15)^(Worksheet!$B$20+4)*Worksheet!$G$10)/Worksheet!$G$5*Request!$G15,0),(IF(AND(Request!$U$4="Multi",Request!$T$4="PY"),ROUND(Request!$G15*((1+Request!$O15)^4)/Worksheet!$G$5*Worksheet!$G$5,0),(IF(AND(Request!$U$4&lt;&gt;"Multi",Request!$T$4="FY"),ROUND(((1+Request!$U$4)^(Worksheet!$B$20+3)*Worksheet!$G$9+(1+Request!$U$4)^(Worksheet!$B$20+4)*Worksheet!$G$10)/Worksheet!$G$5*Request!$G15,0),ROUND(Request!$G15*((1+Request!$U$4)^4)/Worksheet!$G$5*Worksheet!$G$5,0))))))),(IF(AND(Request!$U$4="Multi",Request!$T$4="FY"),ROUND(((1+Request!$O15)^(Worksheet!$B$20+4)*Worksheet!$G$9+(1+Request!$O15)^(Worksheet!$B$20+5)*Worksheet!$G$10)/Worksheet!$G$5*Request!$G15,0),(IF(AND(Request!$U$4="Multi",Request!$T$4="PY"),ROUND(Request!$G15*((1+Request!$O15)^4)/Worksheet!$G$5*Worksheet!$G$5,0),(IF(AND(Request!$U$4&lt;&gt;"Multi",Request!$T$4="FY"),ROUND(((1+Request!$U$4)^(Worksheet!$B$20+4)*Worksheet!$G$9+(1+Request!$U$4)^(Worksheet!$B$20+5)*Worksheet!$G$10)/Worksheet!$G$5*Request!$G15,0),ROUND(Request!$G15*((1+Request!$U$4)^4)/Worksheet!$G$5*Worksheet!$G$5,0)))))))))</f>
        <v>0</v>
      </c>
      <c r="U396" s="307"/>
    </row>
    <row r="397" spans="1:21" x14ac:dyDescent="0.2">
      <c r="A397" s="71">
        <f>'Personnel Reference'!B12</f>
        <v>0</v>
      </c>
      <c r="B397" s="329">
        <f ca="1">IF(Worksheet!$C$5=0,"",IF(AND(Request!$U$4="Multi",Request!$T$4="FY"),ROUND(((1+Request!$O16)^Worksheet!$B$20*Worksheet!$C$9+(1+Request!$O16)^(Worksheet!$B$20+1)*Worksheet!$C$10)/(Worksheet!$C$5)*Request!$E16,0),(IF(AND(Request!$U$4="Multi",Request!$T$4="PY"),ROUND(Request!$E16/(Worksheet!$C$5)*Worksheet!$C$5,0),(IF(AND(Request!$U$4&lt;&gt;"Multi",Request!$T$4="FY"),ROUND(((1+Request!$U$4)^Worksheet!$B$20*Worksheet!$C$9+(1+Request!$U$4)^(Worksheet!$B$20+1)*Worksheet!$C$10)/Worksheet!$C$5*Request!$E16,0),ROUND(Request!$E16/Worksheet!$C$5*Worksheet!$C$5,0)))))))</f>
        <v>0</v>
      </c>
      <c r="C397" s="330"/>
      <c r="D397" s="329">
        <f ca="1">IF(Worksheet!$D$5=0,"",IF($C$4=$D$4,(IF(AND(Request!$U$4="Multi",Request!$T$4="FY"),ROUND(((1+Request!$O16)^(Worksheet!$B$20)*Worksheet!$D$9+(1+Request!$O16)^(Worksheet!$B$20+1)*Worksheet!$D$10)/Worksheet!$D$5*Request!$E16,0),(IF(AND(Request!$U$4="Multi",Request!$T$4="PY"),ROUND(Request!$E16*(1+Request!$O16)/Worksheet!$D$5*Worksheet!$D$5,0),(IF(AND(Request!$U$4&lt;&gt;"Multi",Request!$T$4="FY"),ROUND(((1+Request!$U$4)^(Worksheet!$B$20)*Worksheet!$D$9+(1+Request!$U$4)^(Worksheet!$B$20+1)*Worksheet!$D$10)/Worksheet!$D$5*Request!$E16,0),ROUND(Request!$E16*(1+Request!$U$4)/Worksheet!$D$5*Worksheet!$D$5,0))))))),(IF(AND(Request!$U$4="Multi",Request!$T$4="FY"),ROUND(((1+Request!$O16)^(Worksheet!$B$20+1)*Worksheet!$D$9+(1+Request!$O16)^(Worksheet!$B$20+2)*Worksheet!$D$10)/Worksheet!$D$5*Request!$E16,0),(IF(AND(Request!$U$4="Multi",Request!$T$4="PY"),ROUND(Request!$E16*(1+Request!$O16)/Worksheet!$D$5*Worksheet!$D$5,0),(IF(AND(Request!$U$4&lt;&gt;"Multi",Request!$T$4="FY"),ROUND(((1+Request!$U$4)^(Worksheet!$B$20+1)*Worksheet!$D$9+(1+Request!$U$4)^(Worksheet!$B$20+2)*Worksheet!$D$10)/Worksheet!$D$5*Request!$E16,0),ROUND(Request!$E16*(1+Request!$U$4)/Worksheet!$D$5*Worksheet!$D$5,0)))))))))</f>
        <v>0</v>
      </c>
      <c r="E397" s="330"/>
      <c r="F397" s="329">
        <f ca="1">IF(Worksheet!$E$5=0,"",IF($C$4=$D$4,(IF(AND(Request!$U$4="Multi",Request!$T$4="FY"),ROUND(((1+Request!$O16)^(Worksheet!$B$20+1)*Worksheet!$E$9+(1+Request!$O16)^(Worksheet!$B$20+3)*Worksheet!$E$10)/Worksheet!$E$5*Request!$E16,0),(IF(AND(Request!$U$4="Multi",Request!$T$4="PY"),ROUND(Request!$E16*((1+Request!$O16)^2)/Worksheet!$E$5*Worksheet!$E$5,0),(IF(AND(Request!$U$4&lt;&gt;"Multi",Request!$T$4="FY"),ROUND(((1+Request!$U$4)^(Worksheet!$B$20+1)*Worksheet!$E$9+(1+Request!$U$4)^(Worksheet!$B$20+2)*Worksheet!$E$10)/Worksheet!$E$5*Request!$E16,0),ROUND(Request!$E16*((1+Request!$U$4)^2)/Worksheet!$E$5*Worksheet!$E$5,0))))))),(IF(AND(Request!$U$4="Multi",Request!$T$4="FY"),ROUND(((1+Request!$O16)^(Worksheet!$B$20+2)*Worksheet!$E$9+(1+Request!$O16)^(Worksheet!$B$20+3)*Worksheet!$E$10)/Worksheet!$E$5*Request!$E16,0),(IF(AND(Request!$U$4="Multi",Request!$T$4="PY"),ROUND(Request!$E16*((1+Request!$O16)^2)/Worksheet!$E$5*Worksheet!$E$5,0),(IF(AND(Request!$U$4&lt;&gt;"Multi",Request!$T$4="FY"),ROUND(((1+Request!$U$4)^(Worksheet!$B$20+2)*Worksheet!$E$9+(1+Request!$U$4)^(Worksheet!$B$20+3)*Worksheet!$E$10)/Worksheet!$E$5*Request!$E16,0),ROUND(Request!$E16*((1+Request!$U$4)^2)/Worksheet!$E$5*Worksheet!$E$5,0)))))))))</f>
        <v>0</v>
      </c>
      <c r="G397" s="330"/>
      <c r="H397" s="329">
        <f ca="1">IF(Worksheet!$F$5=0,"",IF($C$4=$D$4,(IF(AND(Request!$U$4="Multi",Request!$T$4="FY"),ROUND(((1+Request!$O16)^(Worksheet!$B$20+2)*Worksheet!$F$9+(1+Request!$O16)^(Worksheet!$B$20+3)*Worksheet!$F$10)/Worksheet!$F$5*Request!$E16,0),(IF(AND(Request!$U$4="Multi",Request!$T$4="PY"),ROUND(Request!$E16*((1+Request!$O16)^3)/Worksheet!$F$5*Worksheet!$F$5,0),(IF(AND(Request!$U$4&lt;&gt;"Multi",Request!$T$4="FY"),ROUND(((1+Request!$U$4)^(Worksheet!$B$20+2)*Worksheet!$F$9+(1+Request!$U$4)^(Worksheet!$B$20+3)*Worksheet!$F$10)/Worksheet!$F$5*Request!$E16,0),ROUND(Request!$E16*((1+Request!$U$4)^3)/Worksheet!$F$5*Worksheet!$F$5,0))))))),(IF(AND(Request!$U$4="Multi",Request!$T$4="FY"),ROUND(((1+Request!$O16)^(Worksheet!$B$20+3)*Worksheet!$F$9+(1+Request!$O16)^(Worksheet!$B$20+4)*Worksheet!$F$10)/Worksheet!$F$5*Request!$E16,0),(IF(AND(Request!$U$4="Multi",Request!$T$4="PY"),ROUND(Request!$E16*((1+Request!$O16)^3)/Worksheet!$F$5*Worksheet!$F$5,0),(IF(AND(Request!$U$4&lt;&gt;"Multi",Request!$T$4="FY"),ROUND(((1+Request!$U$4)^(Worksheet!$B$20+3)*Worksheet!$F$9+(1+Request!$U$4)^(Worksheet!$B$20+4)*Worksheet!$F$10)/Worksheet!$F$5*Request!$E16,0),ROUND(Request!$E16*((1+Request!$U$4)^3)/Worksheet!$F$5*Worksheet!$F$5,0)))))))))</f>
        <v>0</v>
      </c>
      <c r="I397" s="330"/>
      <c r="J397" s="329">
        <f ca="1">IF(Worksheet!$G$5=0,"",IF($C$4=$D$4,(IF(AND(Request!$U$4="Multi",Request!$T$4="FY"),ROUND(((1+Request!$O16)^(Worksheet!$B$20+3)*Worksheet!$G$9+(1+Request!$O16)^(Worksheet!$B$20+4)*Worksheet!$G$10)/Worksheet!$G$5*Request!$E16,0),(IF(AND(Request!$U$4="Multi",Request!$T$4="PY"),ROUND(Request!$E16*((1+Request!$O16)^4)/Worksheet!$G$5*Worksheet!$G$5,0),(IF(AND(Request!$U$4&lt;&gt;"Multi",Request!$T$4="FY"),ROUND(((1+Request!$U$4)^(Worksheet!$B$20+3)*Worksheet!$G$9+(1+Request!$U$4)^(Worksheet!$B$20+4)*Worksheet!$G$10)/Worksheet!$G$5*Request!$E16,0),ROUND(Request!$E16*((1+Request!$U$4)^4)/Worksheet!$G$5*Worksheet!$G$5,0))))))),(IF(AND(Request!$U$4="Multi",Request!$T$4="FY"),ROUND(((1+Request!$O16)^(Worksheet!$B$20+4)*Worksheet!$G$9+(1+Request!$O16)^(Worksheet!$B$20+5)*Worksheet!$G$10)/Worksheet!$G$5*Request!$E16,0),(IF(AND(Request!$U$4="Multi",Request!$T$4="PY"),ROUND(Request!$E16*((1+Request!$O16)^4)/Worksheet!$G$5*Worksheet!$G$5,0),(IF(AND(Request!$U$4&lt;&gt;"Multi",Request!$T$4="FY"),ROUND(((1+Request!$U$4)^(Worksheet!$B$20+4)*Worksheet!$G$9+(1+Request!$U$4)^(Worksheet!$B$20+5)*Worksheet!$G$10)/Worksheet!$G$5*Request!$E16,0),ROUND(Request!$E16*((1+Request!$U$4)^4)/Worksheet!$G$5*Worksheet!$G$5,0)))))))))</f>
        <v>0</v>
      </c>
      <c r="K397" s="330"/>
      <c r="L397" s="307">
        <f ca="1">IF(Worksheet!$C$5=0,"",IF(AND(Request!$U$4="Multi",Request!$T$4="FY"),ROUND(((1+Request!$O16)^Worksheet!$B$20*Worksheet!$C$9+(1+Request!$O16)^(Worksheet!$B$20+1)*Worksheet!$C$10)/(Worksheet!$C$5)*Request!$G16,0),(IF(AND(Request!$U$4="Multi",Request!$T$4="PY"),ROUND(Request!$G16/(Worksheet!$C$5)*Worksheet!$C$5,0),(IF(AND(Request!$U$4&lt;&gt;"Multi",Request!$T$4="FY"),ROUND(((1+Request!$U$4)^Worksheet!$B$20*Worksheet!$C$9+(1+Request!$U$4)^(Worksheet!$B$20+1)*Worksheet!$C$10)/Worksheet!$C$5*Request!$G16,0),ROUND(Request!$G16/Worksheet!$C$5*Worksheet!$C$5,0)))))))</f>
        <v>0</v>
      </c>
      <c r="M397" s="307"/>
      <c r="N397" s="307">
        <f ca="1">IF(Worksheet!$D$5=0,"",IF($C$4=$D$4,(IF(AND(Request!$U$4="Multi",Request!$T$4="FY"),ROUND(((1+Request!$O16)^(Worksheet!$B$20)*Worksheet!$D$9+(1+Request!$O16)^(Worksheet!$B$20+1)*Worksheet!$D$10)/Worksheet!$D$5*Request!$G16,0),(IF(AND(Request!$U$4="Multi",Request!$T$4="PY"),ROUND(Request!$G16*(1+Request!$O16)/Worksheet!$D$5*Worksheet!$D$5,0),(IF(AND(Request!$U$4&lt;&gt;"Multi",Request!$T$4="FY"),ROUND(((1+Request!$U$4)^(Worksheet!$B$20)*Worksheet!$D$9+(1+Request!$U$4)^(Worksheet!$B$20+1)*Worksheet!$D$10)/Worksheet!$D$5*Request!$G16,0),ROUND(Request!$G16*(1+Request!$U$4)/Worksheet!$D$5*Worksheet!$D$5,0))))))),(IF(AND(Request!$U$4="Multi",Request!$T$4="FY"),ROUND(((1+Request!$O16)^(Worksheet!$B$20+1)*Worksheet!$D$9+(1+Request!$O16)^(Worksheet!$B$20+2)*Worksheet!$D$10)/Worksheet!$D$5*Request!$G16,0),(IF(AND(Request!$U$4="Multi",Request!$T$4="PY"),ROUND(Request!$G16*(1+Request!$O16)/Worksheet!$D$5*Worksheet!$D$5,0),(IF(AND(Request!$U$4&lt;&gt;"Multi",Request!$T$4="FY"),ROUND(((1+Request!$U$4)^(Worksheet!$B$20+1)*Worksheet!$D$9+(1+Request!$U$4)^(Worksheet!$B$20+2)*Worksheet!$D$10)/Worksheet!$D$5*Request!$G16,0),ROUND(Request!$G16*(1+Request!$U$4)/Worksheet!$D$5*Worksheet!$D$5,0)))))))))</f>
        <v>0</v>
      </c>
      <c r="O397" s="307"/>
      <c r="P397" s="307">
        <f ca="1">IF(Worksheet!$E$5=0,"",IF($C$4=$D$4,(IF(AND(Request!$U$4="Multi",Request!$T$4="FY"),ROUND(((1+Request!$O16)^(Worksheet!$B$20+1)*Worksheet!$E$9+(1+Request!$O16)^(Worksheet!$B$20+2)*Worksheet!$E$10)/Worksheet!$E$5*Request!$G16,0),(IF(AND(Request!$U$4="Multi",Request!$T$4="PY"),ROUND(Request!$G16*((1+Request!$O16)^2)/Worksheet!$E$5*Worksheet!$E$5,0),(IF(AND(Request!$U$4&lt;&gt;"Multi",Request!$T$4="FY"),ROUND(((1+Request!$U$4)^(Worksheet!$B$20+1)*Worksheet!$E$9+(1+Request!$U$4)^(Worksheet!$B$20+2)*Worksheet!$E$10)/Worksheet!$E$5*Request!$G16,0),ROUND(Request!$G16*((1+Request!$U$4)^2)/Worksheet!$E$5*Worksheet!$E$5,0))))))),(IF(AND(Request!$U$4="Multi",Request!$T$4="FY"),ROUND(((1+Request!$O16)^(Worksheet!$B$20+2)*Worksheet!$E$9+(1+Request!$O16)^(Worksheet!$B$20+3)*Worksheet!$E$10)/Worksheet!$E$5*Request!$G16,0),(IF(AND(Request!$U$4="Multi",Request!$T$4="PY"),ROUND(Request!$G16*((1+Request!$O16)^2)/Worksheet!$E$5*Worksheet!$E$5,0),(IF(AND(Request!$U$4&lt;&gt;"Multi",Request!$T$4="FY"),ROUND(((1+Request!$U$4)^(Worksheet!$B$20+2)*Worksheet!$E$9+(1+Request!$U$4)^(Worksheet!$B$20+3)*Worksheet!$E$10)/Worksheet!$E$5*Request!$G16,0),ROUND(Request!$G16*((1+Request!$U$4)^2)/Worksheet!$E$5*Worksheet!$E$5,0)))))))))</f>
        <v>0</v>
      </c>
      <c r="Q397" s="307"/>
      <c r="R397" s="307">
        <f ca="1">IF(Worksheet!$F$5=0,"",IF($C$4=$D$4,(IF(AND(Request!$U$4="Multi",Request!$T$4="FY"),ROUND(((1+Request!$O16)^(Worksheet!$B$20+2)*Worksheet!$F$9+(1+Request!$O16)^(Worksheet!$B$20+3)*Worksheet!$F$10)/Worksheet!$F$5*Request!$G16,0),(IF(AND(Request!$U$4="Multi",Request!$T$4="PY"),ROUND(Request!$G16*((1+Request!$O16)^3)/Worksheet!$F$5*Worksheet!$F$5,0),(IF(AND(Request!$U$4&lt;&gt;"Multi",Request!$T$4="FY"),ROUND(((1+Request!$U$4)^(Worksheet!$B$20+2)*Worksheet!$F$9+(1+Request!$U$4)^(Worksheet!$B$20+3)*Worksheet!$F$10)/Worksheet!$F$5*Request!$G16,0),ROUND(Request!$G16*((1+Request!$U$4)^3)/Worksheet!$F$5*Worksheet!$F$5,0))))))),(IF(AND(Request!$U$4="Multi",Request!$T$4="FY"),ROUND(((1+Request!$O16)^(Worksheet!$B$20+3)*Worksheet!$F$9+(1+Request!$O16)^(Worksheet!$B$20+4)*Worksheet!$F$10)/Worksheet!$F$5*Request!$G16,0),(IF(AND(Request!$U$4="Multi",Request!$T$4="PY"),ROUND(Request!$G16*((1+Request!$O16)^3)/Worksheet!$F$5*Worksheet!$F$5,0),(IF(AND(Request!$U$4&lt;&gt;"Multi",Request!$T$4="FY"),ROUND(((1+Request!$U$4)^(Worksheet!$B$20+3)*Worksheet!$F$9+(1+Request!$U$4)^(Worksheet!$B$20+4)*Worksheet!$F$10)/Worksheet!$F$5*Request!$G16,0),ROUND(Request!$G16*((1+Request!$U$4)^3)/Worksheet!$F$5*Worksheet!$F$5,0)))))))))</f>
        <v>0</v>
      </c>
      <c r="S397" s="307"/>
      <c r="T397" s="307">
        <f ca="1">IF(Worksheet!$G$5=0,"",IF($C$4=$D$4,(IF(AND(Request!$U$4="Multi",Request!$T$4="FY"),ROUND(((1+Request!$O16)^(Worksheet!$B$20+3)*Worksheet!$G$9+(1+Request!$O16)^(Worksheet!$B$20+4)*Worksheet!$G$10)/Worksheet!$G$5*Request!$G16,0),(IF(AND(Request!$U$4="Multi",Request!$T$4="PY"),ROUND(Request!$G16*((1+Request!$O16)^4)/Worksheet!$G$5*Worksheet!$G$5,0),(IF(AND(Request!$U$4&lt;&gt;"Multi",Request!$T$4="FY"),ROUND(((1+Request!$U$4)^(Worksheet!$B$20+3)*Worksheet!$G$9+(1+Request!$U$4)^(Worksheet!$B$20+4)*Worksheet!$G$10)/Worksheet!$G$5*Request!$G16,0),ROUND(Request!$G16*((1+Request!$U$4)^4)/Worksheet!$G$5*Worksheet!$G$5,0))))))),(IF(AND(Request!$U$4="Multi",Request!$T$4="FY"),ROUND(((1+Request!$O16)^(Worksheet!$B$20+4)*Worksheet!$G$9+(1+Request!$O16)^(Worksheet!$B$20+5)*Worksheet!$G$10)/Worksheet!$G$5*Request!$G16,0),(IF(AND(Request!$U$4="Multi",Request!$T$4="PY"),ROUND(Request!$G16*((1+Request!$O16)^4)/Worksheet!$G$5*Worksheet!$G$5,0),(IF(AND(Request!$U$4&lt;&gt;"Multi",Request!$T$4="FY"),ROUND(((1+Request!$U$4)^(Worksheet!$B$20+4)*Worksheet!$G$9+(1+Request!$U$4)^(Worksheet!$B$20+5)*Worksheet!$G$10)/Worksheet!$G$5*Request!$G16,0),ROUND(Request!$G16*((1+Request!$U$4)^4)/Worksheet!$G$5*Worksheet!$G$5,0)))))))))</f>
        <v>0</v>
      </c>
      <c r="U397" s="307"/>
    </row>
    <row r="398" spans="1:21" x14ac:dyDescent="0.2">
      <c r="A398" s="71">
        <f>'Personnel Reference'!B13</f>
        <v>0</v>
      </c>
      <c r="B398" s="329">
        <f ca="1">IF(Worksheet!$C$5=0,"",IF(AND(Request!$U$4="Multi",Request!$T$4="FY"),ROUND(((1+Request!$O17)^Worksheet!$B$20*Worksheet!$C$9+(1+Request!$O17)^(Worksheet!$B$20+1)*Worksheet!$C$10)/(Worksheet!$C$5)*Request!$E17,0),(IF(AND(Request!$U$4="Multi",Request!$T$4="PY"),ROUND(Request!$E17/(Worksheet!$C$5)*Worksheet!$C$5,0),(IF(AND(Request!$U$4&lt;&gt;"Multi",Request!$T$4="FY"),ROUND(((1+Request!$U$4)^Worksheet!$B$20*Worksheet!$C$9+(1+Request!$U$4)^(Worksheet!$B$20+1)*Worksheet!$C$10)/Worksheet!$C$5*Request!$E17,0),ROUND(Request!$E17/Worksheet!$C$5*Worksheet!$C$5,0)))))))</f>
        <v>0</v>
      </c>
      <c r="C398" s="330"/>
      <c r="D398" s="329">
        <f ca="1">IF(Worksheet!$D$5=0,"",IF($C$4=$D$4,(IF(AND(Request!$U$4="Multi",Request!$T$4="FY"),ROUND(((1+Request!$O17)^(Worksheet!$B$20)*Worksheet!$D$9+(1+Request!$O17)^(Worksheet!$B$20+1)*Worksheet!$D$10)/Worksheet!$D$5*Request!$E17,0),(IF(AND(Request!$U$4="Multi",Request!$T$4="PY"),ROUND(Request!$E17*(1+Request!$O17)/Worksheet!$D$5*Worksheet!$D$5,0),(IF(AND(Request!$U$4&lt;&gt;"Multi",Request!$T$4="FY"),ROUND(((1+Request!$U$4)^(Worksheet!$B$20)*Worksheet!$D$9+(1+Request!$U$4)^(Worksheet!$B$20+1)*Worksheet!$D$10)/Worksheet!$D$5*Request!$E17,0),ROUND(Request!$E17*(1+Request!$U$4)/Worksheet!$D$5*Worksheet!$D$5,0))))))),(IF(AND(Request!$U$4="Multi",Request!$T$4="FY"),ROUND(((1+Request!$O17)^(Worksheet!$B$20+1)*Worksheet!$D$9+(1+Request!$O17)^(Worksheet!$B$20+2)*Worksheet!$D$10)/Worksheet!$D$5*Request!$E17,0),(IF(AND(Request!$U$4="Multi",Request!$T$4="PY"),ROUND(Request!$E17*(1+Request!$O17)/Worksheet!$D$5*Worksheet!$D$5,0),(IF(AND(Request!$U$4&lt;&gt;"Multi",Request!$T$4="FY"),ROUND(((1+Request!$U$4)^(Worksheet!$B$20+1)*Worksheet!$D$9+(1+Request!$U$4)^(Worksheet!$B$20+2)*Worksheet!$D$10)/Worksheet!$D$5*Request!$E17,0),ROUND(Request!$E17*(1+Request!$U$4)/Worksheet!$D$5*Worksheet!$D$5,0)))))))))</f>
        <v>0</v>
      </c>
      <c r="E398" s="330"/>
      <c r="F398" s="329">
        <f ca="1">IF(Worksheet!$E$5=0,"",IF($C$4=$D$4,(IF(AND(Request!$U$4="Multi",Request!$T$4="FY"),ROUND(((1+Request!$O17)^(Worksheet!$B$20+1)*Worksheet!$E$9+(1+Request!$O17)^(Worksheet!$B$20+3)*Worksheet!$E$10)/Worksheet!$E$5*Request!$E17,0),(IF(AND(Request!$U$4="Multi",Request!$T$4="PY"),ROUND(Request!$E17*((1+Request!$O17)^2)/Worksheet!$E$5*Worksheet!$E$5,0),(IF(AND(Request!$U$4&lt;&gt;"Multi",Request!$T$4="FY"),ROUND(((1+Request!$U$4)^(Worksheet!$B$20+1)*Worksheet!$E$9+(1+Request!$U$4)^(Worksheet!$B$20+2)*Worksheet!$E$10)/Worksheet!$E$5*Request!$E17,0),ROUND(Request!$E17*((1+Request!$U$4)^2)/Worksheet!$E$5*Worksheet!$E$5,0))))))),(IF(AND(Request!$U$4="Multi",Request!$T$4="FY"),ROUND(((1+Request!$O17)^(Worksheet!$B$20+2)*Worksheet!$E$9+(1+Request!$O17)^(Worksheet!$B$20+3)*Worksheet!$E$10)/Worksheet!$E$5*Request!$E17,0),(IF(AND(Request!$U$4="Multi",Request!$T$4="PY"),ROUND(Request!$E17*((1+Request!$O17)^2)/Worksheet!$E$5*Worksheet!$E$5,0),(IF(AND(Request!$U$4&lt;&gt;"Multi",Request!$T$4="FY"),ROUND(((1+Request!$U$4)^(Worksheet!$B$20+2)*Worksheet!$E$9+(1+Request!$U$4)^(Worksheet!$B$20+3)*Worksheet!$E$10)/Worksheet!$E$5*Request!$E17,0),ROUND(Request!$E17*((1+Request!$U$4)^2)/Worksheet!$E$5*Worksheet!$E$5,0)))))))))</f>
        <v>0</v>
      </c>
      <c r="G398" s="330"/>
      <c r="H398" s="329">
        <f ca="1">IF(Worksheet!$F$5=0,"",IF($C$4=$D$4,(IF(AND(Request!$U$4="Multi",Request!$T$4="FY"),ROUND(((1+Request!$O17)^(Worksheet!$B$20+2)*Worksheet!$F$9+(1+Request!$O17)^(Worksheet!$B$20+3)*Worksheet!$F$10)/Worksheet!$F$5*Request!$E17,0),(IF(AND(Request!$U$4="Multi",Request!$T$4="PY"),ROUND(Request!$E17*((1+Request!$O17)^3)/Worksheet!$F$5*Worksheet!$F$5,0),(IF(AND(Request!$U$4&lt;&gt;"Multi",Request!$T$4="FY"),ROUND(((1+Request!$U$4)^(Worksheet!$B$20+2)*Worksheet!$F$9+(1+Request!$U$4)^(Worksheet!$B$20+3)*Worksheet!$F$10)/Worksheet!$F$5*Request!$E17,0),ROUND(Request!$E17*((1+Request!$U$4)^3)/Worksheet!$F$5*Worksheet!$F$5,0))))))),(IF(AND(Request!$U$4="Multi",Request!$T$4="FY"),ROUND(((1+Request!$O17)^(Worksheet!$B$20+3)*Worksheet!$F$9+(1+Request!$O17)^(Worksheet!$B$20+4)*Worksheet!$F$10)/Worksheet!$F$5*Request!$E17,0),(IF(AND(Request!$U$4="Multi",Request!$T$4="PY"),ROUND(Request!$E17*((1+Request!$O17)^3)/Worksheet!$F$5*Worksheet!$F$5,0),(IF(AND(Request!$U$4&lt;&gt;"Multi",Request!$T$4="FY"),ROUND(((1+Request!$U$4)^(Worksheet!$B$20+3)*Worksheet!$F$9+(1+Request!$U$4)^(Worksheet!$B$20+4)*Worksheet!$F$10)/Worksheet!$F$5*Request!$E17,0),ROUND(Request!$E17*((1+Request!$U$4)^3)/Worksheet!$F$5*Worksheet!$F$5,0)))))))))</f>
        <v>0</v>
      </c>
      <c r="I398" s="330"/>
      <c r="J398" s="329">
        <f ca="1">IF(Worksheet!$G$5=0,"",IF($C$4=$D$4,(IF(AND(Request!$U$4="Multi",Request!$T$4="FY"),ROUND(((1+Request!$O17)^(Worksheet!$B$20+3)*Worksheet!$G$9+(1+Request!$O17)^(Worksheet!$B$20+4)*Worksheet!$G$10)/Worksheet!$G$5*Request!$E17,0),(IF(AND(Request!$U$4="Multi",Request!$T$4="PY"),ROUND(Request!$E17*((1+Request!$O17)^4)/Worksheet!$G$5*Worksheet!$G$5,0),(IF(AND(Request!$U$4&lt;&gt;"Multi",Request!$T$4="FY"),ROUND(((1+Request!$U$4)^(Worksheet!$B$20+3)*Worksheet!$G$9+(1+Request!$U$4)^(Worksheet!$B$20+4)*Worksheet!$G$10)/Worksheet!$G$5*Request!$E17,0),ROUND(Request!$E17*((1+Request!$U$4)^4)/Worksheet!$G$5*Worksheet!$G$5,0))))))),(IF(AND(Request!$U$4="Multi",Request!$T$4="FY"),ROUND(((1+Request!$O17)^(Worksheet!$B$20+4)*Worksheet!$G$9+(1+Request!$O17)^(Worksheet!$B$20+5)*Worksheet!$G$10)/Worksheet!$G$5*Request!$E17,0),(IF(AND(Request!$U$4="Multi",Request!$T$4="PY"),ROUND(Request!$E17*((1+Request!$O17)^4)/Worksheet!$G$5*Worksheet!$G$5,0),(IF(AND(Request!$U$4&lt;&gt;"Multi",Request!$T$4="FY"),ROUND(((1+Request!$U$4)^(Worksheet!$B$20+4)*Worksheet!$G$9+(1+Request!$U$4)^(Worksheet!$B$20+5)*Worksheet!$G$10)/Worksheet!$G$5*Request!$E17,0),ROUND(Request!$E17*((1+Request!$U$4)^4)/Worksheet!$G$5*Worksheet!$G$5,0)))))))))</f>
        <v>0</v>
      </c>
      <c r="K398" s="330"/>
      <c r="L398" s="307">
        <f ca="1">IF(Worksheet!$C$5=0,"",IF(AND(Request!$U$4="Multi",Request!$T$4="FY"),ROUND(((1+Request!$O17)^Worksheet!$B$20*Worksheet!$C$9+(1+Request!$O17)^(Worksheet!$B$20+1)*Worksheet!$C$10)/(Worksheet!$C$5)*Request!$G17,0),(IF(AND(Request!$U$4="Multi",Request!$T$4="PY"),ROUND(Request!$G17/(Worksheet!$C$5)*Worksheet!$C$5,0),(IF(AND(Request!$U$4&lt;&gt;"Multi",Request!$T$4="FY"),ROUND(((1+Request!$U$4)^Worksheet!$B$20*Worksheet!$C$9+(1+Request!$U$4)^(Worksheet!$B$20+1)*Worksheet!$C$10)/Worksheet!$C$5*Request!$G17,0),ROUND(Request!$G17/Worksheet!$C$5*Worksheet!$C$5,0)))))))</f>
        <v>0</v>
      </c>
      <c r="M398" s="307"/>
      <c r="N398" s="307">
        <f ca="1">IF(Worksheet!$D$5=0,"",IF($C$4=$D$4,(IF(AND(Request!$U$4="Multi",Request!$T$4="FY"),ROUND(((1+Request!$O17)^(Worksheet!$B$20)*Worksheet!$D$9+(1+Request!$O17)^(Worksheet!$B$20+1)*Worksheet!$D$10)/Worksheet!$D$5*Request!$G17,0),(IF(AND(Request!$U$4="Multi",Request!$T$4="PY"),ROUND(Request!$G17*(1+Request!$O17)/Worksheet!$D$5*Worksheet!$D$5,0),(IF(AND(Request!$U$4&lt;&gt;"Multi",Request!$T$4="FY"),ROUND(((1+Request!$U$4)^(Worksheet!$B$20)*Worksheet!$D$9+(1+Request!$U$4)^(Worksheet!$B$20+1)*Worksheet!$D$10)/Worksheet!$D$5*Request!$G17,0),ROUND(Request!$G17*(1+Request!$U$4)/Worksheet!$D$5*Worksheet!$D$5,0))))))),(IF(AND(Request!$U$4="Multi",Request!$T$4="FY"),ROUND(((1+Request!$O17)^(Worksheet!$B$20+1)*Worksheet!$D$9+(1+Request!$O17)^(Worksheet!$B$20+2)*Worksheet!$D$10)/Worksheet!$D$5*Request!$G17,0),(IF(AND(Request!$U$4="Multi",Request!$T$4="PY"),ROUND(Request!$G17*(1+Request!$O17)/Worksheet!$D$5*Worksheet!$D$5,0),(IF(AND(Request!$U$4&lt;&gt;"Multi",Request!$T$4="FY"),ROUND(((1+Request!$U$4)^(Worksheet!$B$20+1)*Worksheet!$D$9+(1+Request!$U$4)^(Worksheet!$B$20+2)*Worksheet!$D$10)/Worksheet!$D$5*Request!$G17,0),ROUND(Request!$G17*(1+Request!$U$4)/Worksheet!$D$5*Worksheet!$D$5,0)))))))))</f>
        <v>0</v>
      </c>
      <c r="O398" s="307"/>
      <c r="P398" s="307">
        <f ca="1">IF(Worksheet!$E$5=0,"",IF($C$4=$D$4,(IF(AND(Request!$U$4="Multi",Request!$T$4="FY"),ROUND(((1+Request!$O17)^(Worksheet!$B$20+1)*Worksheet!$E$9+(1+Request!$O17)^(Worksheet!$B$20+2)*Worksheet!$E$10)/Worksheet!$E$5*Request!$G17,0),(IF(AND(Request!$U$4="Multi",Request!$T$4="PY"),ROUND(Request!$G17*((1+Request!$O17)^2)/Worksheet!$E$5*Worksheet!$E$5,0),(IF(AND(Request!$U$4&lt;&gt;"Multi",Request!$T$4="FY"),ROUND(((1+Request!$U$4)^(Worksheet!$B$20+1)*Worksheet!$E$9+(1+Request!$U$4)^(Worksheet!$B$20+2)*Worksheet!$E$10)/Worksheet!$E$5*Request!$G17,0),ROUND(Request!$G17*((1+Request!$U$4)^2)/Worksheet!$E$5*Worksheet!$E$5,0))))))),(IF(AND(Request!$U$4="Multi",Request!$T$4="FY"),ROUND(((1+Request!$O17)^(Worksheet!$B$20+2)*Worksheet!$E$9+(1+Request!$O17)^(Worksheet!$B$20+3)*Worksheet!$E$10)/Worksheet!$E$5*Request!$G17,0),(IF(AND(Request!$U$4="Multi",Request!$T$4="PY"),ROUND(Request!$G17*((1+Request!$O17)^2)/Worksheet!$E$5*Worksheet!$E$5,0),(IF(AND(Request!$U$4&lt;&gt;"Multi",Request!$T$4="FY"),ROUND(((1+Request!$U$4)^(Worksheet!$B$20+2)*Worksheet!$E$9+(1+Request!$U$4)^(Worksheet!$B$20+3)*Worksheet!$E$10)/Worksheet!$E$5*Request!$G17,0),ROUND(Request!$G17*((1+Request!$U$4)^2)/Worksheet!$E$5*Worksheet!$E$5,0)))))))))</f>
        <v>0</v>
      </c>
      <c r="Q398" s="307"/>
      <c r="R398" s="307">
        <f ca="1">IF(Worksheet!$F$5=0,"",IF($C$4=$D$4,(IF(AND(Request!$U$4="Multi",Request!$T$4="FY"),ROUND(((1+Request!$O17)^(Worksheet!$B$20+2)*Worksheet!$F$9+(1+Request!$O17)^(Worksheet!$B$20+3)*Worksheet!$F$10)/Worksheet!$F$5*Request!$G17,0),(IF(AND(Request!$U$4="Multi",Request!$T$4="PY"),ROUND(Request!$G17*((1+Request!$O17)^3)/Worksheet!$F$5*Worksheet!$F$5,0),(IF(AND(Request!$U$4&lt;&gt;"Multi",Request!$T$4="FY"),ROUND(((1+Request!$U$4)^(Worksheet!$B$20+2)*Worksheet!$F$9+(1+Request!$U$4)^(Worksheet!$B$20+3)*Worksheet!$F$10)/Worksheet!$F$5*Request!$G17,0),ROUND(Request!$G17*((1+Request!$U$4)^3)/Worksheet!$F$5*Worksheet!$F$5,0))))))),(IF(AND(Request!$U$4="Multi",Request!$T$4="FY"),ROUND(((1+Request!$O17)^(Worksheet!$B$20+3)*Worksheet!$F$9+(1+Request!$O17)^(Worksheet!$B$20+4)*Worksheet!$F$10)/Worksheet!$F$5*Request!$G17,0),(IF(AND(Request!$U$4="Multi",Request!$T$4="PY"),ROUND(Request!$G17*((1+Request!$O17)^3)/Worksheet!$F$5*Worksheet!$F$5,0),(IF(AND(Request!$U$4&lt;&gt;"Multi",Request!$T$4="FY"),ROUND(((1+Request!$U$4)^(Worksheet!$B$20+3)*Worksheet!$F$9+(1+Request!$U$4)^(Worksheet!$B$20+4)*Worksheet!$F$10)/Worksheet!$F$5*Request!$G17,0),ROUND(Request!$G17*((1+Request!$U$4)^3)/Worksheet!$F$5*Worksheet!$F$5,0)))))))))</f>
        <v>0</v>
      </c>
      <c r="S398" s="307"/>
      <c r="T398" s="307">
        <f ca="1">IF(Worksheet!$G$5=0,"",IF($C$4=$D$4,(IF(AND(Request!$U$4="Multi",Request!$T$4="FY"),ROUND(((1+Request!$O17)^(Worksheet!$B$20+3)*Worksheet!$G$9+(1+Request!$O17)^(Worksheet!$B$20+4)*Worksheet!$G$10)/Worksheet!$G$5*Request!$G17,0),(IF(AND(Request!$U$4="Multi",Request!$T$4="PY"),ROUND(Request!$G17*((1+Request!$O17)^4)/Worksheet!$G$5*Worksheet!$G$5,0),(IF(AND(Request!$U$4&lt;&gt;"Multi",Request!$T$4="FY"),ROUND(((1+Request!$U$4)^(Worksheet!$B$20+3)*Worksheet!$G$9+(1+Request!$U$4)^(Worksheet!$B$20+4)*Worksheet!$G$10)/Worksheet!$G$5*Request!$G17,0),ROUND(Request!$G17*((1+Request!$U$4)^4)/Worksheet!$G$5*Worksheet!$G$5,0))))))),(IF(AND(Request!$U$4="Multi",Request!$T$4="FY"),ROUND(((1+Request!$O17)^(Worksheet!$B$20+4)*Worksheet!$G$9+(1+Request!$O17)^(Worksheet!$B$20+5)*Worksheet!$G$10)/Worksheet!$G$5*Request!$G17,0),(IF(AND(Request!$U$4="Multi",Request!$T$4="PY"),ROUND(Request!$G17*((1+Request!$O17)^4)/Worksheet!$G$5*Worksheet!$G$5,0),(IF(AND(Request!$U$4&lt;&gt;"Multi",Request!$T$4="FY"),ROUND(((1+Request!$U$4)^(Worksheet!$B$20+4)*Worksheet!$G$9+(1+Request!$U$4)^(Worksheet!$B$20+5)*Worksheet!$G$10)/Worksheet!$G$5*Request!$G17,0),ROUND(Request!$G17*((1+Request!$U$4)^4)/Worksheet!$G$5*Worksheet!$G$5,0)))))))))</f>
        <v>0</v>
      </c>
      <c r="U398" s="307"/>
    </row>
    <row r="399" spans="1:21" x14ac:dyDescent="0.2">
      <c r="A399" s="71">
        <f>'Personnel Reference'!B14</f>
        <v>0</v>
      </c>
      <c r="B399" s="329">
        <f ca="1">IF(Worksheet!$C$5=0,"",IF(AND(Request!$U$4="Multi",Request!$T$4="FY"),ROUND(((1+Request!$O18)^Worksheet!$B$20*Worksheet!$C$9+(1+Request!$O18)^(Worksheet!$B$20+1)*Worksheet!$C$10)/(Worksheet!$C$5)*Request!$E18,0),(IF(AND(Request!$U$4="Multi",Request!$T$4="PY"),ROUND(Request!$E18/(Worksheet!$C$5)*Worksheet!$C$5,0),(IF(AND(Request!$U$4&lt;&gt;"Multi",Request!$T$4="FY"),ROUND(((1+Request!$U$4)^Worksheet!$B$20*Worksheet!$C$9+(1+Request!$U$4)^(Worksheet!$B$20+1)*Worksheet!$C$10)/Worksheet!$C$5*Request!$E18,0),ROUND(Request!$E18/Worksheet!$C$5*Worksheet!$C$5,0)))))))</f>
        <v>0</v>
      </c>
      <c r="C399" s="330"/>
      <c r="D399" s="329">
        <f ca="1">IF(Worksheet!$D$5=0,"",IF($C$4=$D$4,(IF(AND(Request!$U$4="Multi",Request!$T$4="FY"),ROUND(((1+Request!$O18)^(Worksheet!$B$20)*Worksheet!$D$9+(1+Request!$O18)^(Worksheet!$B$20+1)*Worksheet!$D$10)/Worksheet!$D$5*Request!$E18,0),(IF(AND(Request!$U$4="Multi",Request!$T$4="PY"),ROUND(Request!$E18*(1+Request!$O18)/Worksheet!$D$5*Worksheet!$D$5,0),(IF(AND(Request!$U$4&lt;&gt;"Multi",Request!$T$4="FY"),ROUND(((1+Request!$U$4)^(Worksheet!$B$20)*Worksheet!$D$9+(1+Request!$U$4)^(Worksheet!$B$20+1)*Worksheet!$D$10)/Worksheet!$D$5*Request!$E18,0),ROUND(Request!$E18*(1+Request!$U$4)/Worksheet!$D$5*Worksheet!$D$5,0))))))),(IF(AND(Request!$U$4="Multi",Request!$T$4="FY"),ROUND(((1+Request!$O18)^(Worksheet!$B$20+1)*Worksheet!$D$9+(1+Request!$O18)^(Worksheet!$B$20+2)*Worksheet!$D$10)/Worksheet!$D$5*Request!$E18,0),(IF(AND(Request!$U$4="Multi",Request!$T$4="PY"),ROUND(Request!$E18*(1+Request!$O18)/Worksheet!$D$5*Worksheet!$D$5,0),(IF(AND(Request!$U$4&lt;&gt;"Multi",Request!$T$4="FY"),ROUND(((1+Request!$U$4)^(Worksheet!$B$20+1)*Worksheet!$D$9+(1+Request!$U$4)^(Worksheet!$B$20+2)*Worksheet!$D$10)/Worksheet!$D$5*Request!$E18,0),ROUND(Request!$E18*(1+Request!$U$4)/Worksheet!$D$5*Worksheet!$D$5,0)))))))))</f>
        <v>0</v>
      </c>
      <c r="E399" s="330"/>
      <c r="F399" s="329">
        <f ca="1">IF(Worksheet!$E$5=0,"",IF($C$4=$D$4,(IF(AND(Request!$U$4="Multi",Request!$T$4="FY"),ROUND(((1+Request!$O18)^(Worksheet!$B$20+1)*Worksheet!$E$9+(1+Request!$O18)^(Worksheet!$B$20+3)*Worksheet!$E$10)/Worksheet!$E$5*Request!$E18,0),(IF(AND(Request!$U$4="Multi",Request!$T$4="PY"),ROUND(Request!$E18*((1+Request!$O18)^2)/Worksheet!$E$5*Worksheet!$E$5,0),(IF(AND(Request!$U$4&lt;&gt;"Multi",Request!$T$4="FY"),ROUND(((1+Request!$U$4)^(Worksheet!$B$20+1)*Worksheet!$E$9+(1+Request!$U$4)^(Worksheet!$B$20+2)*Worksheet!$E$10)/Worksheet!$E$5*Request!$E18,0),ROUND(Request!$E18*((1+Request!$U$4)^2)/Worksheet!$E$5*Worksheet!$E$5,0))))))),(IF(AND(Request!$U$4="Multi",Request!$T$4="FY"),ROUND(((1+Request!$O18)^(Worksheet!$B$20+2)*Worksheet!$E$9+(1+Request!$O18)^(Worksheet!$B$20+3)*Worksheet!$E$10)/Worksheet!$E$5*Request!$E18,0),(IF(AND(Request!$U$4="Multi",Request!$T$4="PY"),ROUND(Request!$E18*((1+Request!$O18)^2)/Worksheet!$E$5*Worksheet!$E$5,0),(IF(AND(Request!$U$4&lt;&gt;"Multi",Request!$T$4="FY"),ROUND(((1+Request!$U$4)^(Worksheet!$B$20+2)*Worksheet!$E$9+(1+Request!$U$4)^(Worksheet!$B$20+3)*Worksheet!$E$10)/Worksheet!$E$5*Request!$E18,0),ROUND(Request!$E18*((1+Request!$U$4)^2)/Worksheet!$E$5*Worksheet!$E$5,0)))))))))</f>
        <v>0</v>
      </c>
      <c r="G399" s="330"/>
      <c r="H399" s="329">
        <f ca="1">IF(Worksheet!$F$5=0,"",IF($C$4=$D$4,(IF(AND(Request!$U$4="Multi",Request!$T$4="FY"),ROUND(((1+Request!$O18)^(Worksheet!$B$20+2)*Worksheet!$F$9+(1+Request!$O18)^(Worksheet!$B$20+3)*Worksheet!$F$10)/Worksheet!$F$5*Request!$E18,0),(IF(AND(Request!$U$4="Multi",Request!$T$4="PY"),ROUND(Request!$E18*((1+Request!$O18)^3)/Worksheet!$F$5*Worksheet!$F$5,0),(IF(AND(Request!$U$4&lt;&gt;"Multi",Request!$T$4="FY"),ROUND(((1+Request!$U$4)^(Worksheet!$B$20+2)*Worksheet!$F$9+(1+Request!$U$4)^(Worksheet!$B$20+3)*Worksheet!$F$10)/Worksheet!$F$5*Request!$E18,0),ROUND(Request!$E18*((1+Request!$U$4)^3)/Worksheet!$F$5*Worksheet!$F$5,0))))))),(IF(AND(Request!$U$4="Multi",Request!$T$4="FY"),ROUND(((1+Request!$O18)^(Worksheet!$B$20+3)*Worksheet!$F$9+(1+Request!$O18)^(Worksheet!$B$20+4)*Worksheet!$F$10)/Worksheet!$F$5*Request!$E18,0),(IF(AND(Request!$U$4="Multi",Request!$T$4="PY"),ROUND(Request!$E18*((1+Request!$O18)^3)/Worksheet!$F$5*Worksheet!$F$5,0),(IF(AND(Request!$U$4&lt;&gt;"Multi",Request!$T$4="FY"),ROUND(((1+Request!$U$4)^(Worksheet!$B$20+3)*Worksheet!$F$9+(1+Request!$U$4)^(Worksheet!$B$20+4)*Worksheet!$F$10)/Worksheet!$F$5*Request!$E18,0),ROUND(Request!$E18*((1+Request!$U$4)^3)/Worksheet!$F$5*Worksheet!$F$5,0)))))))))</f>
        <v>0</v>
      </c>
      <c r="I399" s="330"/>
      <c r="J399" s="329">
        <f ca="1">IF(Worksheet!$G$5=0,"",IF($C$4=$D$4,(IF(AND(Request!$U$4="Multi",Request!$T$4="FY"),ROUND(((1+Request!$O18)^(Worksheet!$B$20+3)*Worksheet!$G$9+(1+Request!$O18)^(Worksheet!$B$20+4)*Worksheet!$G$10)/Worksheet!$G$5*Request!$E18,0),(IF(AND(Request!$U$4="Multi",Request!$T$4="PY"),ROUND(Request!$E18*((1+Request!$O18)^4)/Worksheet!$G$5*Worksheet!$G$5,0),(IF(AND(Request!$U$4&lt;&gt;"Multi",Request!$T$4="FY"),ROUND(((1+Request!$U$4)^(Worksheet!$B$20+3)*Worksheet!$G$9+(1+Request!$U$4)^(Worksheet!$B$20+4)*Worksheet!$G$10)/Worksheet!$G$5*Request!$E18,0),ROUND(Request!$E18*((1+Request!$U$4)^4)/Worksheet!$G$5*Worksheet!$G$5,0))))))),(IF(AND(Request!$U$4="Multi",Request!$T$4="FY"),ROUND(((1+Request!$O18)^(Worksheet!$B$20+4)*Worksheet!$G$9+(1+Request!$O18)^(Worksheet!$B$20+5)*Worksheet!$G$10)/Worksheet!$G$5*Request!$E18,0),(IF(AND(Request!$U$4="Multi",Request!$T$4="PY"),ROUND(Request!$E18*((1+Request!$O18)^4)/Worksheet!$G$5*Worksheet!$G$5,0),(IF(AND(Request!$U$4&lt;&gt;"Multi",Request!$T$4="FY"),ROUND(((1+Request!$U$4)^(Worksheet!$B$20+4)*Worksheet!$G$9+(1+Request!$U$4)^(Worksheet!$B$20+5)*Worksheet!$G$10)/Worksheet!$G$5*Request!$E18,0),ROUND(Request!$E18*((1+Request!$U$4)^4)/Worksheet!$G$5*Worksheet!$G$5,0)))))))))</f>
        <v>0</v>
      </c>
      <c r="K399" s="330"/>
      <c r="L399" s="307">
        <f ca="1">IF(Worksheet!$C$5=0,"",IF(AND(Request!$U$4="Multi",Request!$T$4="FY"),ROUND(((1+Request!$O18)^Worksheet!$B$20*Worksheet!$C$9+(1+Request!$O18)^(Worksheet!$B$20+1)*Worksheet!$C$10)/(Worksheet!$C$5)*Request!$G18,0),(IF(AND(Request!$U$4="Multi",Request!$T$4="PY"),ROUND(Request!$G18/(Worksheet!$C$5)*Worksheet!$C$5,0),(IF(AND(Request!$U$4&lt;&gt;"Multi",Request!$T$4="FY"),ROUND(((1+Request!$U$4)^Worksheet!$B$20*Worksheet!$C$9+(1+Request!$U$4)^(Worksheet!$B$20+1)*Worksheet!$C$10)/Worksheet!$C$5*Request!$G18,0),ROUND(Request!$G18/Worksheet!$C$5*Worksheet!$C$5,0)))))))</f>
        <v>0</v>
      </c>
      <c r="M399" s="307"/>
      <c r="N399" s="307">
        <f ca="1">IF(Worksheet!$D$5=0,"",IF($C$4=$D$4,(IF(AND(Request!$U$4="Multi",Request!$T$4="FY"),ROUND(((1+Request!$O18)^(Worksheet!$B$20)*Worksheet!$D$9+(1+Request!$O18)^(Worksheet!$B$20+1)*Worksheet!$D$10)/Worksheet!$D$5*Request!$G18,0),(IF(AND(Request!$U$4="Multi",Request!$T$4="PY"),ROUND(Request!$G18*(1+Request!$O18)/Worksheet!$D$5*Worksheet!$D$5,0),(IF(AND(Request!$U$4&lt;&gt;"Multi",Request!$T$4="FY"),ROUND(((1+Request!$U$4)^(Worksheet!$B$20)*Worksheet!$D$9+(1+Request!$U$4)^(Worksheet!$B$20+1)*Worksheet!$D$10)/Worksheet!$D$5*Request!$G18,0),ROUND(Request!$G18*(1+Request!$U$4)/Worksheet!$D$5*Worksheet!$D$5,0))))))),(IF(AND(Request!$U$4="Multi",Request!$T$4="FY"),ROUND(((1+Request!$O18)^(Worksheet!$B$20+1)*Worksheet!$D$9+(1+Request!$O18)^(Worksheet!$B$20+2)*Worksheet!$D$10)/Worksheet!$D$5*Request!$G18,0),(IF(AND(Request!$U$4="Multi",Request!$T$4="PY"),ROUND(Request!$G18*(1+Request!$O18)/Worksheet!$D$5*Worksheet!$D$5,0),(IF(AND(Request!$U$4&lt;&gt;"Multi",Request!$T$4="FY"),ROUND(((1+Request!$U$4)^(Worksheet!$B$20+1)*Worksheet!$D$9+(1+Request!$U$4)^(Worksheet!$B$20+2)*Worksheet!$D$10)/Worksheet!$D$5*Request!$G18,0),ROUND(Request!$G18*(1+Request!$U$4)/Worksheet!$D$5*Worksheet!$D$5,0)))))))))</f>
        <v>0</v>
      </c>
      <c r="O399" s="307"/>
      <c r="P399" s="307">
        <f ca="1">IF(Worksheet!$E$5=0,"",IF($C$4=$D$4,(IF(AND(Request!$U$4="Multi",Request!$T$4="FY"),ROUND(((1+Request!$O18)^(Worksheet!$B$20+1)*Worksheet!$E$9+(1+Request!$O18)^(Worksheet!$B$20+2)*Worksheet!$E$10)/Worksheet!$E$5*Request!$G18,0),(IF(AND(Request!$U$4="Multi",Request!$T$4="PY"),ROUND(Request!$G18*((1+Request!$O18)^2)/Worksheet!$E$5*Worksheet!$E$5,0),(IF(AND(Request!$U$4&lt;&gt;"Multi",Request!$T$4="FY"),ROUND(((1+Request!$U$4)^(Worksheet!$B$20+1)*Worksheet!$E$9+(1+Request!$U$4)^(Worksheet!$B$20+2)*Worksheet!$E$10)/Worksheet!$E$5*Request!$G18,0),ROUND(Request!$G18*((1+Request!$U$4)^2)/Worksheet!$E$5*Worksheet!$E$5,0))))))),(IF(AND(Request!$U$4="Multi",Request!$T$4="FY"),ROUND(((1+Request!$O18)^(Worksheet!$B$20+2)*Worksheet!$E$9+(1+Request!$O18)^(Worksheet!$B$20+3)*Worksheet!$E$10)/Worksheet!$E$5*Request!$G18,0),(IF(AND(Request!$U$4="Multi",Request!$T$4="PY"),ROUND(Request!$G18*((1+Request!$O18)^2)/Worksheet!$E$5*Worksheet!$E$5,0),(IF(AND(Request!$U$4&lt;&gt;"Multi",Request!$T$4="FY"),ROUND(((1+Request!$U$4)^(Worksheet!$B$20+2)*Worksheet!$E$9+(1+Request!$U$4)^(Worksheet!$B$20+3)*Worksheet!$E$10)/Worksheet!$E$5*Request!$G18,0),ROUND(Request!$G18*((1+Request!$U$4)^2)/Worksheet!$E$5*Worksheet!$E$5,0)))))))))</f>
        <v>0</v>
      </c>
      <c r="Q399" s="307"/>
      <c r="R399" s="307">
        <f ca="1">IF(Worksheet!$F$5=0,"",IF($C$4=$D$4,(IF(AND(Request!$U$4="Multi",Request!$T$4="FY"),ROUND(((1+Request!$O18)^(Worksheet!$B$20+2)*Worksheet!$F$9+(1+Request!$O18)^(Worksheet!$B$20+3)*Worksheet!$F$10)/Worksheet!$F$5*Request!$G18,0),(IF(AND(Request!$U$4="Multi",Request!$T$4="PY"),ROUND(Request!$G18*((1+Request!$O18)^3)/Worksheet!$F$5*Worksheet!$F$5,0),(IF(AND(Request!$U$4&lt;&gt;"Multi",Request!$T$4="FY"),ROUND(((1+Request!$U$4)^(Worksheet!$B$20+2)*Worksheet!$F$9+(1+Request!$U$4)^(Worksheet!$B$20+3)*Worksheet!$F$10)/Worksheet!$F$5*Request!$G18,0),ROUND(Request!$G18*((1+Request!$U$4)^3)/Worksheet!$F$5*Worksheet!$F$5,0))))))),(IF(AND(Request!$U$4="Multi",Request!$T$4="FY"),ROUND(((1+Request!$O18)^(Worksheet!$B$20+3)*Worksheet!$F$9+(1+Request!$O18)^(Worksheet!$B$20+4)*Worksheet!$F$10)/Worksheet!$F$5*Request!$G18,0),(IF(AND(Request!$U$4="Multi",Request!$T$4="PY"),ROUND(Request!$G18*((1+Request!$O18)^3)/Worksheet!$F$5*Worksheet!$F$5,0),(IF(AND(Request!$U$4&lt;&gt;"Multi",Request!$T$4="FY"),ROUND(((1+Request!$U$4)^(Worksheet!$B$20+3)*Worksheet!$F$9+(1+Request!$U$4)^(Worksheet!$B$20+4)*Worksheet!$F$10)/Worksheet!$F$5*Request!$G18,0),ROUND(Request!$G18*((1+Request!$U$4)^3)/Worksheet!$F$5*Worksheet!$F$5,0)))))))))</f>
        <v>0</v>
      </c>
      <c r="S399" s="307"/>
      <c r="T399" s="307">
        <f ca="1">IF(Worksheet!$G$5=0,"",IF($C$4=$D$4,(IF(AND(Request!$U$4="Multi",Request!$T$4="FY"),ROUND(((1+Request!$O18)^(Worksheet!$B$20+3)*Worksheet!$G$9+(1+Request!$O18)^(Worksheet!$B$20+4)*Worksheet!$G$10)/Worksheet!$G$5*Request!$G18,0),(IF(AND(Request!$U$4="Multi",Request!$T$4="PY"),ROUND(Request!$G18*((1+Request!$O18)^4)/Worksheet!$G$5*Worksheet!$G$5,0),(IF(AND(Request!$U$4&lt;&gt;"Multi",Request!$T$4="FY"),ROUND(((1+Request!$U$4)^(Worksheet!$B$20+3)*Worksheet!$G$9+(1+Request!$U$4)^(Worksheet!$B$20+4)*Worksheet!$G$10)/Worksheet!$G$5*Request!$G18,0),ROUND(Request!$G18*((1+Request!$U$4)^4)/Worksheet!$G$5*Worksheet!$G$5,0))))))),(IF(AND(Request!$U$4="Multi",Request!$T$4="FY"),ROUND(((1+Request!$O18)^(Worksheet!$B$20+4)*Worksheet!$G$9+(1+Request!$O18)^(Worksheet!$B$20+5)*Worksheet!$G$10)/Worksheet!$G$5*Request!$G18,0),(IF(AND(Request!$U$4="Multi",Request!$T$4="PY"),ROUND(Request!$G18*((1+Request!$O18)^4)/Worksheet!$G$5*Worksheet!$G$5,0),(IF(AND(Request!$U$4&lt;&gt;"Multi",Request!$T$4="FY"),ROUND(((1+Request!$U$4)^(Worksheet!$B$20+4)*Worksheet!$G$9+(1+Request!$U$4)^(Worksheet!$B$20+5)*Worksheet!$G$10)/Worksheet!$G$5*Request!$G18,0),ROUND(Request!$G18*((1+Request!$U$4)^4)/Worksheet!$G$5*Worksheet!$G$5,0)))))))))</f>
        <v>0</v>
      </c>
      <c r="U399" s="307"/>
    </row>
    <row r="400" spans="1:21" x14ac:dyDescent="0.2">
      <c r="A400" s="71">
        <f>'Personnel Reference'!B15</f>
        <v>0</v>
      </c>
      <c r="B400" s="329">
        <f ca="1">IF(Worksheet!$C$5=0,"",IF(AND(Request!$U$4="Multi",Request!$T$4="FY"),ROUND(((1+Request!$O19)^Worksheet!$B$20*Worksheet!$C$9+(1+Request!$O19)^(Worksheet!$B$20+1)*Worksheet!$C$10)/(Worksheet!$C$5)*Request!$E19,0),(IF(AND(Request!$U$4="Multi",Request!$T$4="PY"),ROUND(Request!$E19/(Worksheet!$C$5)*Worksheet!$C$5,0),(IF(AND(Request!$U$4&lt;&gt;"Multi",Request!$T$4="FY"),ROUND(((1+Request!$U$4)^Worksheet!$B$20*Worksheet!$C$9+(1+Request!$U$4)^(Worksheet!$B$20+1)*Worksheet!$C$10)/Worksheet!$C$5*Request!$E19,0),ROUND(Request!$E19/Worksheet!$C$5*Worksheet!$C$5,0)))))))</f>
        <v>0</v>
      </c>
      <c r="C400" s="330"/>
      <c r="D400" s="329">
        <f ca="1">IF(Worksheet!$D$5=0,"",IF($C$4=$D$4,(IF(AND(Request!$U$4="Multi",Request!$T$4="FY"),ROUND(((1+Request!$O19)^(Worksheet!$B$20)*Worksheet!$D$9+(1+Request!$O19)^(Worksheet!$B$20+1)*Worksheet!$D$10)/Worksheet!$D$5*Request!$E19,0),(IF(AND(Request!$U$4="Multi",Request!$T$4="PY"),ROUND(Request!$E19*(1+Request!$O19)/Worksheet!$D$5*Worksheet!$D$5,0),(IF(AND(Request!$U$4&lt;&gt;"Multi",Request!$T$4="FY"),ROUND(((1+Request!$U$4)^(Worksheet!$B$20)*Worksheet!$D$9+(1+Request!$U$4)^(Worksheet!$B$20+1)*Worksheet!$D$10)/Worksheet!$D$5*Request!$E19,0),ROUND(Request!$E19*(1+Request!$U$4)/Worksheet!$D$5*Worksheet!$D$5,0))))))),(IF(AND(Request!$U$4="Multi",Request!$T$4="FY"),ROUND(((1+Request!$O19)^(Worksheet!$B$20+1)*Worksheet!$D$9+(1+Request!$O19)^(Worksheet!$B$20+2)*Worksheet!$D$10)/Worksheet!$D$5*Request!$E19,0),(IF(AND(Request!$U$4="Multi",Request!$T$4="PY"),ROUND(Request!$E19*(1+Request!$O19)/Worksheet!$D$5*Worksheet!$D$5,0),(IF(AND(Request!$U$4&lt;&gt;"Multi",Request!$T$4="FY"),ROUND(((1+Request!$U$4)^(Worksheet!$B$20+1)*Worksheet!$D$9+(1+Request!$U$4)^(Worksheet!$B$20+2)*Worksheet!$D$10)/Worksheet!$D$5*Request!$E19,0),ROUND(Request!$E19*(1+Request!$U$4)/Worksheet!$D$5*Worksheet!$D$5,0)))))))))</f>
        <v>0</v>
      </c>
      <c r="E400" s="330"/>
      <c r="F400" s="329">
        <f ca="1">IF(Worksheet!$E$5=0,"",IF($C$4=$D$4,(IF(AND(Request!$U$4="Multi",Request!$T$4="FY"),ROUND(((1+Request!$O19)^(Worksheet!$B$20+1)*Worksheet!$E$9+(1+Request!$O19)^(Worksheet!$B$20+3)*Worksheet!$E$10)/Worksheet!$E$5*Request!$E19,0),(IF(AND(Request!$U$4="Multi",Request!$T$4="PY"),ROUND(Request!$E19*((1+Request!$O19)^2)/Worksheet!$E$5*Worksheet!$E$5,0),(IF(AND(Request!$U$4&lt;&gt;"Multi",Request!$T$4="FY"),ROUND(((1+Request!$U$4)^(Worksheet!$B$20+1)*Worksheet!$E$9+(1+Request!$U$4)^(Worksheet!$B$20+2)*Worksheet!$E$10)/Worksheet!$E$5*Request!$E19,0),ROUND(Request!$E19*((1+Request!$U$4)^2)/Worksheet!$E$5*Worksheet!$E$5,0))))))),(IF(AND(Request!$U$4="Multi",Request!$T$4="FY"),ROUND(((1+Request!$O19)^(Worksheet!$B$20+2)*Worksheet!$E$9+(1+Request!$O19)^(Worksheet!$B$20+3)*Worksheet!$E$10)/Worksheet!$E$5*Request!$E19,0),(IF(AND(Request!$U$4="Multi",Request!$T$4="PY"),ROUND(Request!$E19*((1+Request!$O19)^2)/Worksheet!$E$5*Worksheet!$E$5,0),(IF(AND(Request!$U$4&lt;&gt;"Multi",Request!$T$4="FY"),ROUND(((1+Request!$U$4)^(Worksheet!$B$20+2)*Worksheet!$E$9+(1+Request!$U$4)^(Worksheet!$B$20+3)*Worksheet!$E$10)/Worksheet!$E$5*Request!$E19,0),ROUND(Request!$E19*((1+Request!$U$4)^2)/Worksheet!$E$5*Worksheet!$E$5,0)))))))))</f>
        <v>0</v>
      </c>
      <c r="G400" s="330"/>
      <c r="H400" s="329">
        <f ca="1">IF(Worksheet!$F$5=0,"",IF($C$4=$D$4,(IF(AND(Request!$U$4="Multi",Request!$T$4="FY"),ROUND(((1+Request!$O19)^(Worksheet!$B$20+2)*Worksheet!$F$9+(1+Request!$O19)^(Worksheet!$B$20+3)*Worksheet!$F$10)/Worksheet!$F$5*Request!$E19,0),(IF(AND(Request!$U$4="Multi",Request!$T$4="PY"),ROUND(Request!$E19*((1+Request!$O19)^3)/Worksheet!$F$5*Worksheet!$F$5,0),(IF(AND(Request!$U$4&lt;&gt;"Multi",Request!$T$4="FY"),ROUND(((1+Request!$U$4)^(Worksheet!$B$20+2)*Worksheet!$F$9+(1+Request!$U$4)^(Worksheet!$B$20+3)*Worksheet!$F$10)/Worksheet!$F$5*Request!$E19,0),ROUND(Request!$E19*((1+Request!$U$4)^3)/Worksheet!$F$5*Worksheet!$F$5,0))))))),(IF(AND(Request!$U$4="Multi",Request!$T$4="FY"),ROUND(((1+Request!$O19)^(Worksheet!$B$20+3)*Worksheet!$F$9+(1+Request!$O19)^(Worksheet!$B$20+4)*Worksheet!$F$10)/Worksheet!$F$5*Request!$E19,0),(IF(AND(Request!$U$4="Multi",Request!$T$4="PY"),ROUND(Request!$E19*((1+Request!$O19)^3)/Worksheet!$F$5*Worksheet!$F$5,0),(IF(AND(Request!$U$4&lt;&gt;"Multi",Request!$T$4="FY"),ROUND(((1+Request!$U$4)^(Worksheet!$B$20+3)*Worksheet!$F$9+(1+Request!$U$4)^(Worksheet!$B$20+4)*Worksheet!$F$10)/Worksheet!$F$5*Request!$E19,0),ROUND(Request!$E19*((1+Request!$U$4)^3)/Worksheet!$F$5*Worksheet!$F$5,0)))))))))</f>
        <v>0</v>
      </c>
      <c r="I400" s="330"/>
      <c r="J400" s="329">
        <f ca="1">IF(Worksheet!$G$5=0,"",IF($C$4=$D$4,(IF(AND(Request!$U$4="Multi",Request!$T$4="FY"),ROUND(((1+Request!$O19)^(Worksheet!$B$20+3)*Worksheet!$G$9+(1+Request!$O19)^(Worksheet!$B$20+4)*Worksheet!$G$10)/Worksheet!$G$5*Request!$E19,0),(IF(AND(Request!$U$4="Multi",Request!$T$4="PY"),ROUND(Request!$E19*((1+Request!$O19)^4)/Worksheet!$G$5*Worksheet!$G$5,0),(IF(AND(Request!$U$4&lt;&gt;"Multi",Request!$T$4="FY"),ROUND(((1+Request!$U$4)^(Worksheet!$B$20+3)*Worksheet!$G$9+(1+Request!$U$4)^(Worksheet!$B$20+4)*Worksheet!$G$10)/Worksheet!$G$5*Request!$E19,0),ROUND(Request!$E19*((1+Request!$U$4)^4)/Worksheet!$G$5*Worksheet!$G$5,0))))))),(IF(AND(Request!$U$4="Multi",Request!$T$4="FY"),ROUND(((1+Request!$O19)^(Worksheet!$B$20+4)*Worksheet!$G$9+(1+Request!$O19)^(Worksheet!$B$20+5)*Worksheet!$G$10)/Worksheet!$G$5*Request!$E19,0),(IF(AND(Request!$U$4="Multi",Request!$T$4="PY"),ROUND(Request!$E19*((1+Request!$O19)^4)/Worksheet!$G$5*Worksheet!$G$5,0),(IF(AND(Request!$U$4&lt;&gt;"Multi",Request!$T$4="FY"),ROUND(((1+Request!$U$4)^(Worksheet!$B$20+4)*Worksheet!$G$9+(1+Request!$U$4)^(Worksheet!$B$20+5)*Worksheet!$G$10)/Worksheet!$G$5*Request!$E19,0),ROUND(Request!$E19*((1+Request!$U$4)^4)/Worksheet!$G$5*Worksheet!$G$5,0)))))))))</f>
        <v>0</v>
      </c>
      <c r="K400" s="330"/>
      <c r="L400" s="307">
        <f ca="1">IF(Worksheet!$C$5=0,"",IF(AND(Request!$U$4="Multi",Request!$T$4="FY"),ROUND(((1+Request!$O19)^Worksheet!$B$20*Worksheet!$C$9+(1+Request!$O19)^(Worksheet!$B$20+1)*Worksheet!$C$10)/(Worksheet!$C$5)*Request!$G19,0),(IF(AND(Request!$U$4="Multi",Request!$T$4="PY"),ROUND(Request!$G19/(Worksheet!$C$5)*Worksheet!$C$5,0),(IF(AND(Request!$U$4&lt;&gt;"Multi",Request!$T$4="FY"),ROUND(((1+Request!$U$4)^Worksheet!$B$20*Worksheet!$C$9+(1+Request!$U$4)^(Worksheet!$B$20+1)*Worksheet!$C$10)/Worksheet!$C$5*Request!$G19,0),ROUND(Request!$G19/Worksheet!$C$5*Worksheet!$C$5,0)))))))</f>
        <v>0</v>
      </c>
      <c r="M400" s="307"/>
      <c r="N400" s="307">
        <f ca="1">IF(Worksheet!$D$5=0,"",IF($C$4=$D$4,(IF(AND(Request!$U$4="Multi",Request!$T$4="FY"),ROUND(((1+Request!$O19)^(Worksheet!$B$20)*Worksheet!$D$9+(1+Request!$O19)^(Worksheet!$B$20+1)*Worksheet!$D$10)/Worksheet!$D$5*Request!$G19,0),(IF(AND(Request!$U$4="Multi",Request!$T$4="PY"),ROUND(Request!$G19*(1+Request!$O19)/Worksheet!$D$5*Worksheet!$D$5,0),(IF(AND(Request!$U$4&lt;&gt;"Multi",Request!$T$4="FY"),ROUND(((1+Request!$U$4)^(Worksheet!$B$20)*Worksheet!$D$9+(1+Request!$U$4)^(Worksheet!$B$20+1)*Worksheet!$D$10)/Worksheet!$D$5*Request!$G19,0),ROUND(Request!$G19*(1+Request!$U$4)/Worksheet!$D$5*Worksheet!$D$5,0))))))),(IF(AND(Request!$U$4="Multi",Request!$T$4="FY"),ROUND(((1+Request!$O19)^(Worksheet!$B$20+1)*Worksheet!$D$9+(1+Request!$O19)^(Worksheet!$B$20+2)*Worksheet!$D$10)/Worksheet!$D$5*Request!$G19,0),(IF(AND(Request!$U$4="Multi",Request!$T$4="PY"),ROUND(Request!$G19*(1+Request!$O19)/Worksheet!$D$5*Worksheet!$D$5,0),(IF(AND(Request!$U$4&lt;&gt;"Multi",Request!$T$4="FY"),ROUND(((1+Request!$U$4)^(Worksheet!$B$20+1)*Worksheet!$D$9+(1+Request!$U$4)^(Worksheet!$B$20+2)*Worksheet!$D$10)/Worksheet!$D$5*Request!$G19,0),ROUND(Request!$G19*(1+Request!$U$4)/Worksheet!$D$5*Worksheet!$D$5,0)))))))))</f>
        <v>0</v>
      </c>
      <c r="O400" s="307"/>
      <c r="P400" s="307">
        <f ca="1">IF(Worksheet!$E$5=0,"",IF($C$4=$D$4,(IF(AND(Request!$U$4="Multi",Request!$T$4="FY"),ROUND(((1+Request!$O19)^(Worksheet!$B$20+1)*Worksheet!$E$9+(1+Request!$O19)^(Worksheet!$B$20+2)*Worksheet!$E$10)/Worksheet!$E$5*Request!$G19,0),(IF(AND(Request!$U$4="Multi",Request!$T$4="PY"),ROUND(Request!$G19*((1+Request!$O19)^2)/Worksheet!$E$5*Worksheet!$E$5,0),(IF(AND(Request!$U$4&lt;&gt;"Multi",Request!$T$4="FY"),ROUND(((1+Request!$U$4)^(Worksheet!$B$20+1)*Worksheet!$E$9+(1+Request!$U$4)^(Worksheet!$B$20+2)*Worksheet!$E$10)/Worksheet!$E$5*Request!$G19,0),ROUND(Request!$G19*((1+Request!$U$4)^2)/Worksheet!$E$5*Worksheet!$E$5,0))))))),(IF(AND(Request!$U$4="Multi",Request!$T$4="FY"),ROUND(((1+Request!$O19)^(Worksheet!$B$20+2)*Worksheet!$E$9+(1+Request!$O19)^(Worksheet!$B$20+3)*Worksheet!$E$10)/Worksheet!$E$5*Request!$G19,0),(IF(AND(Request!$U$4="Multi",Request!$T$4="PY"),ROUND(Request!$G19*((1+Request!$O19)^2)/Worksheet!$E$5*Worksheet!$E$5,0),(IF(AND(Request!$U$4&lt;&gt;"Multi",Request!$T$4="FY"),ROUND(((1+Request!$U$4)^(Worksheet!$B$20+2)*Worksheet!$E$9+(1+Request!$U$4)^(Worksheet!$B$20+3)*Worksheet!$E$10)/Worksheet!$E$5*Request!$G19,0),ROUND(Request!$G19*((1+Request!$U$4)^2)/Worksheet!$E$5*Worksheet!$E$5,0)))))))))</f>
        <v>0</v>
      </c>
      <c r="Q400" s="307"/>
      <c r="R400" s="307">
        <f ca="1">IF(Worksheet!$F$5=0,"",IF($C$4=$D$4,(IF(AND(Request!$U$4="Multi",Request!$T$4="FY"),ROUND(((1+Request!$O19)^(Worksheet!$B$20+2)*Worksheet!$F$9+(1+Request!$O19)^(Worksheet!$B$20+3)*Worksheet!$F$10)/Worksheet!$F$5*Request!$G19,0),(IF(AND(Request!$U$4="Multi",Request!$T$4="PY"),ROUND(Request!$G19*((1+Request!$O19)^3)/Worksheet!$F$5*Worksheet!$F$5,0),(IF(AND(Request!$U$4&lt;&gt;"Multi",Request!$T$4="FY"),ROUND(((1+Request!$U$4)^(Worksheet!$B$20+2)*Worksheet!$F$9+(1+Request!$U$4)^(Worksheet!$B$20+3)*Worksheet!$F$10)/Worksheet!$F$5*Request!$G19,0),ROUND(Request!$G19*((1+Request!$U$4)^3)/Worksheet!$F$5*Worksheet!$F$5,0))))))),(IF(AND(Request!$U$4="Multi",Request!$T$4="FY"),ROUND(((1+Request!$O19)^(Worksheet!$B$20+3)*Worksheet!$F$9+(1+Request!$O19)^(Worksheet!$B$20+4)*Worksheet!$F$10)/Worksheet!$F$5*Request!$G19,0),(IF(AND(Request!$U$4="Multi",Request!$T$4="PY"),ROUND(Request!$G19*((1+Request!$O19)^3)/Worksheet!$F$5*Worksheet!$F$5,0),(IF(AND(Request!$U$4&lt;&gt;"Multi",Request!$T$4="FY"),ROUND(((1+Request!$U$4)^(Worksheet!$B$20+3)*Worksheet!$F$9+(1+Request!$U$4)^(Worksheet!$B$20+4)*Worksheet!$F$10)/Worksheet!$F$5*Request!$G19,0),ROUND(Request!$G19*((1+Request!$U$4)^3)/Worksheet!$F$5*Worksheet!$F$5,0)))))))))</f>
        <v>0</v>
      </c>
      <c r="S400" s="307"/>
      <c r="T400" s="307">
        <f ca="1">IF(Worksheet!$G$5=0,"",IF($C$4=$D$4,(IF(AND(Request!$U$4="Multi",Request!$T$4="FY"),ROUND(((1+Request!$O19)^(Worksheet!$B$20+3)*Worksheet!$G$9+(1+Request!$O19)^(Worksheet!$B$20+4)*Worksheet!$G$10)/Worksheet!$G$5*Request!$G19,0),(IF(AND(Request!$U$4="Multi",Request!$T$4="PY"),ROUND(Request!$G19*((1+Request!$O19)^4)/Worksheet!$G$5*Worksheet!$G$5,0),(IF(AND(Request!$U$4&lt;&gt;"Multi",Request!$T$4="FY"),ROUND(((1+Request!$U$4)^(Worksheet!$B$20+3)*Worksheet!$G$9+(1+Request!$U$4)^(Worksheet!$B$20+4)*Worksheet!$G$10)/Worksheet!$G$5*Request!$G19,0),ROUND(Request!$G19*((1+Request!$U$4)^4)/Worksheet!$G$5*Worksheet!$G$5,0))))))),(IF(AND(Request!$U$4="Multi",Request!$T$4="FY"),ROUND(((1+Request!$O19)^(Worksheet!$B$20+4)*Worksheet!$G$9+(1+Request!$O19)^(Worksheet!$B$20+5)*Worksheet!$G$10)/Worksheet!$G$5*Request!$G19,0),(IF(AND(Request!$U$4="Multi",Request!$T$4="PY"),ROUND(Request!$G19*((1+Request!$O19)^4)/Worksheet!$G$5*Worksheet!$G$5,0),(IF(AND(Request!$U$4&lt;&gt;"Multi",Request!$T$4="FY"),ROUND(((1+Request!$U$4)^(Worksheet!$B$20+4)*Worksheet!$G$9+(1+Request!$U$4)^(Worksheet!$B$20+5)*Worksheet!$G$10)/Worksheet!$G$5*Request!$G19,0),ROUND(Request!$G19*((1+Request!$U$4)^4)/Worksheet!$G$5*Worksheet!$G$5,0)))))))))</f>
        <v>0</v>
      </c>
      <c r="U400" s="307"/>
    </row>
    <row r="401" spans="1:21" x14ac:dyDescent="0.2">
      <c r="A401" s="71">
        <f>'Personnel Reference'!B16</f>
        <v>0</v>
      </c>
      <c r="B401" s="329">
        <f ca="1">IF(Worksheet!$C$5=0,"",IF(AND(Request!$U$4="Multi",Request!$T$4="FY"),ROUND(((1+Request!$O20)^Worksheet!$B$20*Worksheet!$C$9+(1+Request!$O20)^(Worksheet!$B$20+1)*Worksheet!$C$10)/(Worksheet!$C$5)*Request!$E20,0),(IF(AND(Request!$U$4="Multi",Request!$T$4="PY"),ROUND(Request!$E20/(Worksheet!$C$5)*Worksheet!$C$5,0),(IF(AND(Request!$U$4&lt;&gt;"Multi",Request!$T$4="FY"),ROUND(((1+Request!$U$4)^Worksheet!$B$20*Worksheet!$C$9+(1+Request!$U$4)^(Worksheet!$B$20+1)*Worksheet!$C$10)/Worksheet!$C$5*Request!$E20,0),ROUND(Request!$E20/Worksheet!$C$5*Worksheet!$C$5,0)))))))</f>
        <v>100750</v>
      </c>
      <c r="C401" s="330"/>
      <c r="D401" s="329">
        <f ca="1">IF(Worksheet!$D$5=0,"",IF($C$4=$D$4,(IF(AND(Request!$U$4="Multi",Request!$T$4="FY"),ROUND(((1+Request!$O20)^(Worksheet!$B$20)*Worksheet!$D$9+(1+Request!$O20)^(Worksheet!$B$20+1)*Worksheet!$D$10)/Worksheet!$D$5*Request!$E20,0),(IF(AND(Request!$U$4="Multi",Request!$T$4="PY"),ROUND(Request!$E20*(1+Request!$O20)/Worksheet!$D$5*Worksheet!$D$5,0),(IF(AND(Request!$U$4&lt;&gt;"Multi",Request!$T$4="FY"),ROUND(((1+Request!$U$4)^(Worksheet!$B$20)*Worksheet!$D$9+(1+Request!$U$4)^(Worksheet!$B$20+1)*Worksheet!$D$10)/Worksheet!$D$5*Request!$E20,0),ROUND(Request!$E20*(1+Request!$U$4)/Worksheet!$D$5*Worksheet!$D$5,0))))))),(IF(AND(Request!$U$4="Multi",Request!$T$4="FY"),ROUND(((1+Request!$O20)^(Worksheet!$B$20+1)*Worksheet!$D$9+(1+Request!$O20)^(Worksheet!$B$20+2)*Worksheet!$D$10)/Worksheet!$D$5*Request!$E20,0),(IF(AND(Request!$U$4="Multi",Request!$T$4="PY"),ROUND(Request!$E20*(1+Request!$O20)/Worksheet!$D$5*Worksheet!$D$5,0),(IF(AND(Request!$U$4&lt;&gt;"Multi",Request!$T$4="FY"),ROUND(((1+Request!$U$4)^(Worksheet!$B$20+1)*Worksheet!$D$9+(1+Request!$U$4)^(Worksheet!$B$20+2)*Worksheet!$D$10)/Worksheet!$D$5*Request!$E20,0),ROUND(Request!$E20*(1+Request!$U$4)/Worksheet!$D$5*Worksheet!$D$5,0)))))))))</f>
        <v>103773</v>
      </c>
      <c r="E401" s="330"/>
      <c r="F401" s="329">
        <f ca="1">IF(Worksheet!$E$5=0,"",IF($C$4=$D$4,(IF(AND(Request!$U$4="Multi",Request!$T$4="FY"),ROUND(((1+Request!$O20)^(Worksheet!$B$20+1)*Worksheet!$E$9+(1+Request!$O20)^(Worksheet!$B$20+3)*Worksheet!$E$10)/Worksheet!$E$5*Request!$E20,0),(IF(AND(Request!$U$4="Multi",Request!$T$4="PY"),ROUND(Request!$E20*((1+Request!$O20)^2)/Worksheet!$E$5*Worksheet!$E$5,0),(IF(AND(Request!$U$4&lt;&gt;"Multi",Request!$T$4="FY"),ROUND(((1+Request!$U$4)^(Worksheet!$B$20+1)*Worksheet!$E$9+(1+Request!$U$4)^(Worksheet!$B$20+2)*Worksheet!$E$10)/Worksheet!$E$5*Request!$E20,0),ROUND(Request!$E20*((1+Request!$U$4)^2)/Worksheet!$E$5*Worksheet!$E$5,0))))))),(IF(AND(Request!$U$4="Multi",Request!$T$4="FY"),ROUND(((1+Request!$O20)^(Worksheet!$B$20+2)*Worksheet!$E$9+(1+Request!$O20)^(Worksheet!$B$20+3)*Worksheet!$E$10)/Worksheet!$E$5*Request!$E20,0),(IF(AND(Request!$U$4="Multi",Request!$T$4="PY"),ROUND(Request!$E20*((1+Request!$O20)^2)/Worksheet!$E$5*Worksheet!$E$5,0),(IF(AND(Request!$U$4&lt;&gt;"Multi",Request!$T$4="FY"),ROUND(((1+Request!$U$4)^(Worksheet!$B$20+2)*Worksheet!$E$9+(1+Request!$U$4)^(Worksheet!$B$20+3)*Worksheet!$E$10)/Worksheet!$E$5*Request!$E20,0),ROUND(Request!$E20*((1+Request!$U$4)^2)/Worksheet!$E$5*Worksheet!$E$5,0)))))))))</f>
        <v>106886</v>
      </c>
      <c r="G401" s="330"/>
      <c r="H401" s="329">
        <f ca="1">IF(Worksheet!$F$5=0,"",IF($C$4=$D$4,(IF(AND(Request!$U$4="Multi",Request!$T$4="FY"),ROUND(((1+Request!$O20)^(Worksheet!$B$20+2)*Worksheet!$F$9+(1+Request!$O20)^(Worksheet!$B$20+3)*Worksheet!$F$10)/Worksheet!$F$5*Request!$E20,0),(IF(AND(Request!$U$4="Multi",Request!$T$4="PY"),ROUND(Request!$E20*((1+Request!$O20)^3)/Worksheet!$F$5*Worksheet!$F$5,0),(IF(AND(Request!$U$4&lt;&gt;"Multi",Request!$T$4="FY"),ROUND(((1+Request!$U$4)^(Worksheet!$B$20+2)*Worksheet!$F$9+(1+Request!$U$4)^(Worksheet!$B$20+3)*Worksheet!$F$10)/Worksheet!$F$5*Request!$E20,0),ROUND(Request!$E20*((1+Request!$U$4)^3)/Worksheet!$F$5*Worksheet!$F$5,0))))))),(IF(AND(Request!$U$4="Multi",Request!$T$4="FY"),ROUND(((1+Request!$O20)^(Worksheet!$B$20+3)*Worksheet!$F$9+(1+Request!$O20)^(Worksheet!$B$20+4)*Worksheet!$F$10)/Worksheet!$F$5*Request!$E20,0),(IF(AND(Request!$U$4="Multi",Request!$T$4="PY"),ROUND(Request!$E20*((1+Request!$O20)^3)/Worksheet!$F$5*Worksheet!$F$5,0),(IF(AND(Request!$U$4&lt;&gt;"Multi",Request!$T$4="FY"),ROUND(((1+Request!$U$4)^(Worksheet!$B$20+3)*Worksheet!$F$9+(1+Request!$U$4)^(Worksheet!$B$20+4)*Worksheet!$F$10)/Worksheet!$F$5*Request!$E20,0),ROUND(Request!$E20*((1+Request!$U$4)^3)/Worksheet!$F$5*Worksheet!$F$5,0)))))))))</f>
        <v>110092</v>
      </c>
      <c r="I401" s="330"/>
      <c r="J401" s="329">
        <f ca="1">IF(Worksheet!$G$5=0,"",IF($C$4=$D$4,(IF(AND(Request!$U$4="Multi",Request!$T$4="FY"),ROUND(((1+Request!$O20)^(Worksheet!$B$20+3)*Worksheet!$G$9+(1+Request!$O20)^(Worksheet!$B$20+4)*Worksheet!$G$10)/Worksheet!$G$5*Request!$E20,0),(IF(AND(Request!$U$4="Multi",Request!$T$4="PY"),ROUND(Request!$E20*((1+Request!$O20)^4)/Worksheet!$G$5*Worksheet!$G$5,0),(IF(AND(Request!$U$4&lt;&gt;"Multi",Request!$T$4="FY"),ROUND(((1+Request!$U$4)^(Worksheet!$B$20+3)*Worksheet!$G$9+(1+Request!$U$4)^(Worksheet!$B$20+4)*Worksheet!$G$10)/Worksheet!$G$5*Request!$E20,0),ROUND(Request!$E20*((1+Request!$U$4)^4)/Worksheet!$G$5*Worksheet!$G$5,0))))))),(IF(AND(Request!$U$4="Multi",Request!$T$4="FY"),ROUND(((1+Request!$O20)^(Worksheet!$B$20+4)*Worksheet!$G$9+(1+Request!$O20)^(Worksheet!$B$20+5)*Worksheet!$G$10)/Worksheet!$G$5*Request!$E20,0),(IF(AND(Request!$U$4="Multi",Request!$T$4="PY"),ROUND(Request!$E20*((1+Request!$O20)^4)/Worksheet!$G$5*Worksheet!$G$5,0),(IF(AND(Request!$U$4&lt;&gt;"Multi",Request!$T$4="FY"),ROUND(((1+Request!$U$4)^(Worksheet!$B$20+4)*Worksheet!$G$9+(1+Request!$U$4)^(Worksheet!$B$20+5)*Worksheet!$G$10)/Worksheet!$G$5*Request!$E20,0),ROUND(Request!$E20*((1+Request!$U$4)^4)/Worksheet!$G$5*Worksheet!$G$5,0)))))))))</f>
        <v>113395</v>
      </c>
      <c r="K401" s="330"/>
      <c r="L401" s="307">
        <f ca="1">IF(Worksheet!$C$5=0,"",IF(AND(Request!$U$4="Multi",Request!$T$4="FY"),ROUND(((1+Request!$O20)^Worksheet!$B$20*Worksheet!$C$9+(1+Request!$O20)^(Worksheet!$B$20+1)*Worksheet!$C$10)/(Worksheet!$C$5)*Request!$G20,0),(IF(AND(Request!$U$4="Multi",Request!$T$4="PY"),ROUND(Request!$G20/(Worksheet!$C$5)*Worksheet!$C$5,0),(IF(AND(Request!$U$4&lt;&gt;"Multi",Request!$T$4="FY"),ROUND(((1+Request!$U$4)^Worksheet!$B$20*Worksheet!$C$9+(1+Request!$U$4)^(Worksheet!$B$20+1)*Worksheet!$C$10)/Worksheet!$C$5*Request!$G20,0),ROUND(Request!$G20/Worksheet!$C$5*Worksheet!$C$5,0)))))))</f>
        <v>100750</v>
      </c>
      <c r="M401" s="307"/>
      <c r="N401" s="307">
        <f ca="1">IF(Worksheet!$D$5=0,"",IF($C$4=$D$4,(IF(AND(Request!$U$4="Multi",Request!$T$4="FY"),ROUND(((1+Request!$O20)^(Worksheet!$B$20)*Worksheet!$D$9+(1+Request!$O20)^(Worksheet!$B$20+1)*Worksheet!$D$10)/Worksheet!$D$5*Request!$G20,0),(IF(AND(Request!$U$4="Multi",Request!$T$4="PY"),ROUND(Request!$G20*(1+Request!$O20)/Worksheet!$D$5*Worksheet!$D$5,0),(IF(AND(Request!$U$4&lt;&gt;"Multi",Request!$T$4="FY"),ROUND(((1+Request!$U$4)^(Worksheet!$B$20)*Worksheet!$D$9+(1+Request!$U$4)^(Worksheet!$B$20+1)*Worksheet!$D$10)/Worksheet!$D$5*Request!$G20,0),ROUND(Request!$G20*(1+Request!$U$4)/Worksheet!$D$5*Worksheet!$D$5,0))))))),(IF(AND(Request!$U$4="Multi",Request!$T$4="FY"),ROUND(((1+Request!$O20)^(Worksheet!$B$20+1)*Worksheet!$D$9+(1+Request!$O20)^(Worksheet!$B$20+2)*Worksheet!$D$10)/Worksheet!$D$5*Request!$G20,0),(IF(AND(Request!$U$4="Multi",Request!$T$4="PY"),ROUND(Request!$G20*(1+Request!$O20)/Worksheet!$D$5*Worksheet!$D$5,0),(IF(AND(Request!$U$4&lt;&gt;"Multi",Request!$T$4="FY"),ROUND(((1+Request!$U$4)^(Worksheet!$B$20+1)*Worksheet!$D$9+(1+Request!$U$4)^(Worksheet!$B$20+2)*Worksheet!$D$10)/Worksheet!$D$5*Request!$G20,0),ROUND(Request!$G20*(1+Request!$U$4)/Worksheet!$D$5*Worksheet!$D$5,0)))))))))</f>
        <v>103773</v>
      </c>
      <c r="O401" s="307"/>
      <c r="P401" s="307">
        <f ca="1">IF(Worksheet!$E$5=0,"",IF($C$4=$D$4,(IF(AND(Request!$U$4="Multi",Request!$T$4="FY"),ROUND(((1+Request!$O20)^(Worksheet!$B$20+1)*Worksheet!$E$9+(1+Request!$O20)^(Worksheet!$B$20+2)*Worksheet!$E$10)/Worksheet!$E$5*Request!$G20,0),(IF(AND(Request!$U$4="Multi",Request!$T$4="PY"),ROUND(Request!$G20*((1+Request!$O20)^2)/Worksheet!$E$5*Worksheet!$E$5,0),(IF(AND(Request!$U$4&lt;&gt;"Multi",Request!$T$4="FY"),ROUND(((1+Request!$U$4)^(Worksheet!$B$20+1)*Worksheet!$E$9+(1+Request!$U$4)^(Worksheet!$B$20+2)*Worksheet!$E$10)/Worksheet!$E$5*Request!$G20,0),ROUND(Request!$G20*((1+Request!$U$4)^2)/Worksheet!$E$5*Worksheet!$E$5,0))))))),(IF(AND(Request!$U$4="Multi",Request!$T$4="FY"),ROUND(((1+Request!$O20)^(Worksheet!$B$20+2)*Worksheet!$E$9+(1+Request!$O20)^(Worksheet!$B$20+3)*Worksheet!$E$10)/Worksheet!$E$5*Request!$G20,0),(IF(AND(Request!$U$4="Multi",Request!$T$4="PY"),ROUND(Request!$G20*((1+Request!$O20)^2)/Worksheet!$E$5*Worksheet!$E$5,0),(IF(AND(Request!$U$4&lt;&gt;"Multi",Request!$T$4="FY"),ROUND(((1+Request!$U$4)^(Worksheet!$B$20+2)*Worksheet!$E$9+(1+Request!$U$4)^(Worksheet!$B$20+3)*Worksheet!$E$10)/Worksheet!$E$5*Request!$G20,0),ROUND(Request!$G20*((1+Request!$U$4)^2)/Worksheet!$E$5*Worksheet!$E$5,0)))))))))</f>
        <v>106886</v>
      </c>
      <c r="Q401" s="307"/>
      <c r="R401" s="307">
        <f ca="1">IF(Worksheet!$F$5=0,"",IF($C$4=$D$4,(IF(AND(Request!$U$4="Multi",Request!$T$4="FY"),ROUND(((1+Request!$O20)^(Worksheet!$B$20+2)*Worksheet!$F$9+(1+Request!$O20)^(Worksheet!$B$20+3)*Worksheet!$F$10)/Worksheet!$F$5*Request!$G20,0),(IF(AND(Request!$U$4="Multi",Request!$T$4="PY"),ROUND(Request!$G20*((1+Request!$O20)^3)/Worksheet!$F$5*Worksheet!$F$5,0),(IF(AND(Request!$U$4&lt;&gt;"Multi",Request!$T$4="FY"),ROUND(((1+Request!$U$4)^(Worksheet!$B$20+2)*Worksheet!$F$9+(1+Request!$U$4)^(Worksheet!$B$20+3)*Worksheet!$F$10)/Worksheet!$F$5*Request!$G20,0),ROUND(Request!$G20*((1+Request!$U$4)^3)/Worksheet!$F$5*Worksheet!$F$5,0))))))),(IF(AND(Request!$U$4="Multi",Request!$T$4="FY"),ROUND(((1+Request!$O20)^(Worksheet!$B$20+3)*Worksheet!$F$9+(1+Request!$O20)^(Worksheet!$B$20+4)*Worksheet!$F$10)/Worksheet!$F$5*Request!$G20,0),(IF(AND(Request!$U$4="Multi",Request!$T$4="PY"),ROUND(Request!$G20*((1+Request!$O20)^3)/Worksheet!$F$5*Worksheet!$F$5,0),(IF(AND(Request!$U$4&lt;&gt;"Multi",Request!$T$4="FY"),ROUND(((1+Request!$U$4)^(Worksheet!$B$20+3)*Worksheet!$F$9+(1+Request!$U$4)^(Worksheet!$B$20+4)*Worksheet!$F$10)/Worksheet!$F$5*Request!$G20,0),ROUND(Request!$G20*((1+Request!$U$4)^3)/Worksheet!$F$5*Worksheet!$F$5,0)))))))))</f>
        <v>110092</v>
      </c>
      <c r="S401" s="307"/>
      <c r="T401" s="307">
        <f ca="1">IF(Worksheet!$G$5=0,"",IF($C$4=$D$4,(IF(AND(Request!$U$4="Multi",Request!$T$4="FY"),ROUND(((1+Request!$O20)^(Worksheet!$B$20+3)*Worksheet!$G$9+(1+Request!$O20)^(Worksheet!$B$20+4)*Worksheet!$G$10)/Worksheet!$G$5*Request!$G20,0),(IF(AND(Request!$U$4="Multi",Request!$T$4="PY"),ROUND(Request!$G20*((1+Request!$O20)^4)/Worksheet!$G$5*Worksheet!$G$5,0),(IF(AND(Request!$U$4&lt;&gt;"Multi",Request!$T$4="FY"),ROUND(((1+Request!$U$4)^(Worksheet!$B$20+3)*Worksheet!$G$9+(1+Request!$U$4)^(Worksheet!$B$20+4)*Worksheet!$G$10)/Worksheet!$G$5*Request!$G20,0),ROUND(Request!$G20*((1+Request!$U$4)^4)/Worksheet!$G$5*Worksheet!$G$5,0))))))),(IF(AND(Request!$U$4="Multi",Request!$T$4="FY"),ROUND(((1+Request!$O20)^(Worksheet!$B$20+4)*Worksheet!$G$9+(1+Request!$O20)^(Worksheet!$B$20+5)*Worksheet!$G$10)/Worksheet!$G$5*Request!$G20,0),(IF(AND(Request!$U$4="Multi",Request!$T$4="PY"),ROUND(Request!$G20*((1+Request!$O20)^4)/Worksheet!$G$5*Worksheet!$G$5,0),(IF(AND(Request!$U$4&lt;&gt;"Multi",Request!$T$4="FY"),ROUND(((1+Request!$U$4)^(Worksheet!$B$20+4)*Worksheet!$G$9+(1+Request!$U$4)^(Worksheet!$B$20+5)*Worksheet!$G$10)/Worksheet!$G$5*Request!$G20,0),ROUND(Request!$G20*((1+Request!$U$4)^4)/Worksheet!$G$5*Worksheet!$G$5,0)))))))))</f>
        <v>113395</v>
      </c>
      <c r="U401" s="307"/>
    </row>
    <row r="402" spans="1:21" x14ac:dyDescent="0.2">
      <c r="A402" s="71">
        <f>'Personnel Reference'!B17</f>
        <v>0</v>
      </c>
      <c r="B402" s="329">
        <f ca="1">IF(Worksheet!$C$5=0,"",IF(AND(Request!$U$4="Multi",Request!$T$4="FY"),ROUND(((1+Request!$O21)^Worksheet!$B$20*Worksheet!$C$9+(1+Request!$O21)^(Worksheet!$B$20+1)*Worksheet!$C$10)/(Worksheet!$C$5)*Request!$E21,0),(IF(AND(Request!$U$4="Multi",Request!$T$4="PY"),ROUND(Request!$E21/(Worksheet!$C$5)*Worksheet!$C$5,0),(IF(AND(Request!$U$4&lt;&gt;"Multi",Request!$T$4="FY"),ROUND(((1+Request!$U$4)^Worksheet!$B$20*Worksheet!$C$9+(1+Request!$U$4)^(Worksheet!$B$20+1)*Worksheet!$C$10)/Worksheet!$C$5*Request!$E21,0),ROUND(Request!$E21/Worksheet!$C$5*Worksheet!$C$5,0)))))))</f>
        <v>100750</v>
      </c>
      <c r="C402" s="330"/>
      <c r="D402" s="329">
        <f ca="1">IF(Worksheet!$D$5=0,"",IF($C$4=$D$4,(IF(AND(Request!$U$4="Multi",Request!$T$4="FY"),ROUND(((1+Request!$O21)^(Worksheet!$B$20)*Worksheet!$D$9+(1+Request!$O21)^(Worksheet!$B$20+1)*Worksheet!$D$10)/Worksheet!$D$5*Request!$E21,0),(IF(AND(Request!$U$4="Multi",Request!$T$4="PY"),ROUND(Request!$E21*(1+Request!$O21)/Worksheet!$D$5*Worksheet!$D$5,0),(IF(AND(Request!$U$4&lt;&gt;"Multi",Request!$T$4="FY"),ROUND(((1+Request!$U$4)^(Worksheet!$B$20)*Worksheet!$D$9+(1+Request!$U$4)^(Worksheet!$B$20+1)*Worksheet!$D$10)/Worksheet!$D$5*Request!$E21,0),ROUND(Request!$E21*(1+Request!$U$4)/Worksheet!$D$5*Worksheet!$D$5,0))))))),(IF(AND(Request!$U$4="Multi",Request!$T$4="FY"),ROUND(((1+Request!$O21)^(Worksheet!$B$20+1)*Worksheet!$D$9+(1+Request!$O21)^(Worksheet!$B$20+2)*Worksheet!$D$10)/Worksheet!$D$5*Request!$E21,0),(IF(AND(Request!$U$4="Multi",Request!$T$4="PY"),ROUND(Request!$E21*(1+Request!$O21)/Worksheet!$D$5*Worksheet!$D$5,0),(IF(AND(Request!$U$4&lt;&gt;"Multi",Request!$T$4="FY"),ROUND(((1+Request!$U$4)^(Worksheet!$B$20+1)*Worksheet!$D$9+(1+Request!$U$4)^(Worksheet!$B$20+2)*Worksheet!$D$10)/Worksheet!$D$5*Request!$E21,0),ROUND(Request!$E21*(1+Request!$U$4)/Worksheet!$D$5*Worksheet!$D$5,0)))))))))</f>
        <v>103773</v>
      </c>
      <c r="E402" s="330"/>
      <c r="F402" s="329">
        <f ca="1">IF(Worksheet!$E$5=0,"",IF($C$4=$D$4,(IF(AND(Request!$U$4="Multi",Request!$T$4="FY"),ROUND(((1+Request!$O21)^(Worksheet!$B$20+1)*Worksheet!$E$9+(1+Request!$O21)^(Worksheet!$B$20+3)*Worksheet!$E$10)/Worksheet!$E$5*Request!$E21,0),(IF(AND(Request!$U$4="Multi",Request!$T$4="PY"),ROUND(Request!$E21*((1+Request!$O21)^2)/Worksheet!$E$5*Worksheet!$E$5,0),(IF(AND(Request!$U$4&lt;&gt;"Multi",Request!$T$4="FY"),ROUND(((1+Request!$U$4)^(Worksheet!$B$20+1)*Worksheet!$E$9+(1+Request!$U$4)^(Worksheet!$B$20+2)*Worksheet!$E$10)/Worksheet!$E$5*Request!$E21,0),ROUND(Request!$E21*((1+Request!$U$4)^2)/Worksheet!$E$5*Worksheet!$E$5,0))))))),(IF(AND(Request!$U$4="Multi",Request!$T$4="FY"),ROUND(((1+Request!$O21)^(Worksheet!$B$20+2)*Worksheet!$E$9+(1+Request!$O21)^(Worksheet!$B$20+3)*Worksheet!$E$10)/Worksheet!$E$5*Request!$E21,0),(IF(AND(Request!$U$4="Multi",Request!$T$4="PY"),ROUND(Request!$E21*((1+Request!$O21)^2)/Worksheet!$E$5*Worksheet!$E$5,0),(IF(AND(Request!$U$4&lt;&gt;"Multi",Request!$T$4="FY"),ROUND(((1+Request!$U$4)^(Worksheet!$B$20+2)*Worksheet!$E$9+(1+Request!$U$4)^(Worksheet!$B$20+3)*Worksheet!$E$10)/Worksheet!$E$5*Request!$E21,0),ROUND(Request!$E21*((1+Request!$U$4)^2)/Worksheet!$E$5*Worksheet!$E$5,0)))))))))</f>
        <v>106886</v>
      </c>
      <c r="G402" s="330"/>
      <c r="H402" s="329">
        <f ca="1">IF(Worksheet!$F$5=0,"",IF($C$4=$D$4,(IF(AND(Request!$U$4="Multi",Request!$T$4="FY"),ROUND(((1+Request!$O21)^(Worksheet!$B$20+2)*Worksheet!$F$9+(1+Request!$O21)^(Worksheet!$B$20+3)*Worksheet!$F$10)/Worksheet!$F$5*Request!$E21,0),(IF(AND(Request!$U$4="Multi",Request!$T$4="PY"),ROUND(Request!$E21*((1+Request!$O21)^3)/Worksheet!$F$5*Worksheet!$F$5,0),(IF(AND(Request!$U$4&lt;&gt;"Multi",Request!$T$4="FY"),ROUND(((1+Request!$U$4)^(Worksheet!$B$20+2)*Worksheet!$F$9+(1+Request!$U$4)^(Worksheet!$B$20+3)*Worksheet!$F$10)/Worksheet!$F$5*Request!$E21,0),ROUND(Request!$E21*((1+Request!$U$4)^3)/Worksheet!$F$5*Worksheet!$F$5,0))))))),(IF(AND(Request!$U$4="Multi",Request!$T$4="FY"),ROUND(((1+Request!$O21)^(Worksheet!$B$20+3)*Worksheet!$F$9+(1+Request!$O21)^(Worksheet!$B$20+4)*Worksheet!$F$10)/Worksheet!$F$5*Request!$E21,0),(IF(AND(Request!$U$4="Multi",Request!$T$4="PY"),ROUND(Request!$E21*((1+Request!$O21)^3)/Worksheet!$F$5*Worksheet!$F$5,0),(IF(AND(Request!$U$4&lt;&gt;"Multi",Request!$T$4="FY"),ROUND(((1+Request!$U$4)^(Worksheet!$B$20+3)*Worksheet!$F$9+(1+Request!$U$4)^(Worksheet!$B$20+4)*Worksheet!$F$10)/Worksheet!$F$5*Request!$E21,0),ROUND(Request!$E21*((1+Request!$U$4)^3)/Worksheet!$F$5*Worksheet!$F$5,0)))))))))</f>
        <v>110092</v>
      </c>
      <c r="I402" s="330"/>
      <c r="J402" s="329">
        <f ca="1">IF(Worksheet!$G$5=0,"",IF($C$4=$D$4,(IF(AND(Request!$U$4="Multi",Request!$T$4="FY"),ROUND(((1+Request!$O21)^(Worksheet!$B$20+3)*Worksheet!$G$9+(1+Request!$O21)^(Worksheet!$B$20+4)*Worksheet!$G$10)/Worksheet!$G$5*Request!$E21,0),(IF(AND(Request!$U$4="Multi",Request!$T$4="PY"),ROUND(Request!$E21*((1+Request!$O21)^4)/Worksheet!$G$5*Worksheet!$G$5,0),(IF(AND(Request!$U$4&lt;&gt;"Multi",Request!$T$4="FY"),ROUND(((1+Request!$U$4)^(Worksheet!$B$20+3)*Worksheet!$G$9+(1+Request!$U$4)^(Worksheet!$B$20+4)*Worksheet!$G$10)/Worksheet!$G$5*Request!$E21,0),ROUND(Request!$E21*((1+Request!$U$4)^4)/Worksheet!$G$5*Worksheet!$G$5,0))))))),(IF(AND(Request!$U$4="Multi",Request!$T$4="FY"),ROUND(((1+Request!$O21)^(Worksheet!$B$20+4)*Worksheet!$G$9+(1+Request!$O21)^(Worksheet!$B$20+5)*Worksheet!$G$10)/Worksheet!$G$5*Request!$E21,0),(IF(AND(Request!$U$4="Multi",Request!$T$4="PY"),ROUND(Request!$E21*((1+Request!$O21)^4)/Worksheet!$G$5*Worksheet!$G$5,0),(IF(AND(Request!$U$4&lt;&gt;"Multi",Request!$T$4="FY"),ROUND(((1+Request!$U$4)^(Worksheet!$B$20+4)*Worksheet!$G$9+(1+Request!$U$4)^(Worksheet!$B$20+5)*Worksheet!$G$10)/Worksheet!$G$5*Request!$E21,0),ROUND(Request!$E21*((1+Request!$U$4)^4)/Worksheet!$G$5*Worksheet!$G$5,0)))))))))</f>
        <v>113395</v>
      </c>
      <c r="K402" s="330"/>
      <c r="L402" s="307">
        <f ca="1">IF(Worksheet!$C$5=0,"",IF(AND(Request!$U$4="Multi",Request!$T$4="FY"),ROUND(((1+Request!$O21)^Worksheet!$B$20*Worksheet!$C$9+(1+Request!$O21)^(Worksheet!$B$20+1)*Worksheet!$C$10)/(Worksheet!$C$5)*Request!$G21,0),(IF(AND(Request!$U$4="Multi",Request!$T$4="PY"),ROUND(Request!$G21/(Worksheet!$C$5)*Worksheet!$C$5,0),(IF(AND(Request!$U$4&lt;&gt;"Multi",Request!$T$4="FY"),ROUND(((1+Request!$U$4)^Worksheet!$B$20*Worksheet!$C$9+(1+Request!$U$4)^(Worksheet!$B$20+1)*Worksheet!$C$10)/Worksheet!$C$5*Request!$G21,0),ROUND(Request!$G21/Worksheet!$C$5*Worksheet!$C$5,0)))))))</f>
        <v>100750</v>
      </c>
      <c r="M402" s="307"/>
      <c r="N402" s="307">
        <f ca="1">IF(Worksheet!$D$5=0,"",IF($C$4=$D$4,(IF(AND(Request!$U$4="Multi",Request!$T$4="FY"),ROUND(((1+Request!$O21)^(Worksheet!$B$20)*Worksheet!$D$9+(1+Request!$O21)^(Worksheet!$B$20+1)*Worksheet!$D$10)/Worksheet!$D$5*Request!$G21,0),(IF(AND(Request!$U$4="Multi",Request!$T$4="PY"),ROUND(Request!$G21*(1+Request!$O21)/Worksheet!$D$5*Worksheet!$D$5,0),(IF(AND(Request!$U$4&lt;&gt;"Multi",Request!$T$4="FY"),ROUND(((1+Request!$U$4)^(Worksheet!$B$20)*Worksheet!$D$9+(1+Request!$U$4)^(Worksheet!$B$20+1)*Worksheet!$D$10)/Worksheet!$D$5*Request!$G21,0),ROUND(Request!$G21*(1+Request!$U$4)/Worksheet!$D$5*Worksheet!$D$5,0))))))),(IF(AND(Request!$U$4="Multi",Request!$T$4="FY"),ROUND(((1+Request!$O21)^(Worksheet!$B$20+1)*Worksheet!$D$9+(1+Request!$O21)^(Worksheet!$B$20+2)*Worksheet!$D$10)/Worksheet!$D$5*Request!$G21,0),(IF(AND(Request!$U$4="Multi",Request!$T$4="PY"),ROUND(Request!$G21*(1+Request!$O21)/Worksheet!$D$5*Worksheet!$D$5,0),(IF(AND(Request!$U$4&lt;&gt;"Multi",Request!$T$4="FY"),ROUND(((1+Request!$U$4)^(Worksheet!$B$20+1)*Worksheet!$D$9+(1+Request!$U$4)^(Worksheet!$B$20+2)*Worksheet!$D$10)/Worksheet!$D$5*Request!$G21,0),ROUND(Request!$G21*(1+Request!$U$4)/Worksheet!$D$5*Worksheet!$D$5,0)))))))))</f>
        <v>103773</v>
      </c>
      <c r="O402" s="307"/>
      <c r="P402" s="307">
        <f ca="1">IF(Worksheet!$E$5=0,"",IF($C$4=$D$4,(IF(AND(Request!$U$4="Multi",Request!$T$4="FY"),ROUND(((1+Request!$O21)^(Worksheet!$B$20+1)*Worksheet!$E$9+(1+Request!$O21)^(Worksheet!$B$20+2)*Worksheet!$E$10)/Worksheet!$E$5*Request!$G21,0),(IF(AND(Request!$U$4="Multi",Request!$T$4="PY"),ROUND(Request!$G21*((1+Request!$O21)^2)/Worksheet!$E$5*Worksheet!$E$5,0),(IF(AND(Request!$U$4&lt;&gt;"Multi",Request!$T$4="FY"),ROUND(((1+Request!$U$4)^(Worksheet!$B$20+1)*Worksheet!$E$9+(1+Request!$U$4)^(Worksheet!$B$20+2)*Worksheet!$E$10)/Worksheet!$E$5*Request!$G21,0),ROUND(Request!$G21*((1+Request!$U$4)^2)/Worksheet!$E$5*Worksheet!$E$5,0))))))),(IF(AND(Request!$U$4="Multi",Request!$T$4="FY"),ROUND(((1+Request!$O21)^(Worksheet!$B$20+2)*Worksheet!$E$9+(1+Request!$O21)^(Worksheet!$B$20+3)*Worksheet!$E$10)/Worksheet!$E$5*Request!$G21,0),(IF(AND(Request!$U$4="Multi",Request!$T$4="PY"),ROUND(Request!$G21*((1+Request!$O21)^2)/Worksheet!$E$5*Worksheet!$E$5,0),(IF(AND(Request!$U$4&lt;&gt;"Multi",Request!$T$4="FY"),ROUND(((1+Request!$U$4)^(Worksheet!$B$20+2)*Worksheet!$E$9+(1+Request!$U$4)^(Worksheet!$B$20+3)*Worksheet!$E$10)/Worksheet!$E$5*Request!$G21,0),ROUND(Request!$G21*((1+Request!$U$4)^2)/Worksheet!$E$5*Worksheet!$E$5,0)))))))))</f>
        <v>106886</v>
      </c>
      <c r="Q402" s="307"/>
      <c r="R402" s="307">
        <f ca="1">IF(Worksheet!$F$5=0,"",IF($C$4=$D$4,(IF(AND(Request!$U$4="Multi",Request!$T$4="FY"),ROUND(((1+Request!$O21)^(Worksheet!$B$20+2)*Worksheet!$F$9+(1+Request!$O21)^(Worksheet!$B$20+3)*Worksheet!$F$10)/Worksheet!$F$5*Request!$G21,0),(IF(AND(Request!$U$4="Multi",Request!$T$4="PY"),ROUND(Request!$G21*((1+Request!$O21)^3)/Worksheet!$F$5*Worksheet!$F$5,0),(IF(AND(Request!$U$4&lt;&gt;"Multi",Request!$T$4="FY"),ROUND(((1+Request!$U$4)^(Worksheet!$B$20+2)*Worksheet!$F$9+(1+Request!$U$4)^(Worksheet!$B$20+3)*Worksheet!$F$10)/Worksheet!$F$5*Request!$G21,0),ROUND(Request!$G21*((1+Request!$U$4)^3)/Worksheet!$F$5*Worksheet!$F$5,0))))))),(IF(AND(Request!$U$4="Multi",Request!$T$4="FY"),ROUND(((1+Request!$O21)^(Worksheet!$B$20+3)*Worksheet!$F$9+(1+Request!$O21)^(Worksheet!$B$20+4)*Worksheet!$F$10)/Worksheet!$F$5*Request!$G21,0),(IF(AND(Request!$U$4="Multi",Request!$T$4="PY"),ROUND(Request!$G21*((1+Request!$O21)^3)/Worksheet!$F$5*Worksheet!$F$5,0),(IF(AND(Request!$U$4&lt;&gt;"Multi",Request!$T$4="FY"),ROUND(((1+Request!$U$4)^(Worksheet!$B$20+3)*Worksheet!$F$9+(1+Request!$U$4)^(Worksheet!$B$20+4)*Worksheet!$F$10)/Worksheet!$F$5*Request!$G21,0),ROUND(Request!$G21*((1+Request!$U$4)^3)/Worksheet!$F$5*Worksheet!$F$5,0)))))))))</f>
        <v>110092</v>
      </c>
      <c r="S402" s="307"/>
      <c r="T402" s="307">
        <f ca="1">IF(Worksheet!$G$5=0,"",IF($C$4=$D$4,(IF(AND(Request!$U$4="Multi",Request!$T$4="FY"),ROUND(((1+Request!$O21)^(Worksheet!$B$20+3)*Worksheet!$G$9+(1+Request!$O21)^(Worksheet!$B$20+4)*Worksheet!$G$10)/Worksheet!$G$5*Request!$G21,0),(IF(AND(Request!$U$4="Multi",Request!$T$4="PY"),ROUND(Request!$G21*((1+Request!$O21)^4)/Worksheet!$G$5*Worksheet!$G$5,0),(IF(AND(Request!$U$4&lt;&gt;"Multi",Request!$T$4="FY"),ROUND(((1+Request!$U$4)^(Worksheet!$B$20+3)*Worksheet!$G$9+(1+Request!$U$4)^(Worksheet!$B$20+4)*Worksheet!$G$10)/Worksheet!$G$5*Request!$G21,0),ROUND(Request!$G21*((1+Request!$U$4)^4)/Worksheet!$G$5*Worksheet!$G$5,0))))))),(IF(AND(Request!$U$4="Multi",Request!$T$4="FY"),ROUND(((1+Request!$O21)^(Worksheet!$B$20+4)*Worksheet!$G$9+(1+Request!$O21)^(Worksheet!$B$20+5)*Worksheet!$G$10)/Worksheet!$G$5*Request!$G21,0),(IF(AND(Request!$U$4="Multi",Request!$T$4="PY"),ROUND(Request!$G21*((1+Request!$O21)^4)/Worksheet!$G$5*Worksheet!$G$5,0),(IF(AND(Request!$U$4&lt;&gt;"Multi",Request!$T$4="FY"),ROUND(((1+Request!$U$4)^(Worksheet!$B$20+4)*Worksheet!$G$9+(1+Request!$U$4)^(Worksheet!$B$20+5)*Worksheet!$G$10)/Worksheet!$G$5*Request!$G21,0),ROUND(Request!$G21*((1+Request!$U$4)^4)/Worksheet!$G$5*Worksheet!$G$5,0)))))))))</f>
        <v>113395</v>
      </c>
      <c r="U402" s="307"/>
    </row>
    <row r="403" spans="1:21" x14ac:dyDescent="0.2">
      <c r="A403" s="71">
        <f>'Personnel Reference'!B18</f>
        <v>0</v>
      </c>
      <c r="B403" s="329">
        <f ca="1">IF(Worksheet!$C$5=0,"",IF(AND(Request!$U$4="Multi",Request!$T$4="FY"),ROUND(((1+Request!$O22)^Worksheet!$B$20*Worksheet!$C$9+(1+Request!$O22)^(Worksheet!$B$20+1)*Worksheet!$C$10)/(Worksheet!$C$5)*Request!$E22,0),(IF(AND(Request!$U$4="Multi",Request!$T$4="PY"),ROUND(Request!$E22/(Worksheet!$C$5)*Worksheet!$C$5,0),(IF(AND(Request!$U$4&lt;&gt;"Multi",Request!$T$4="FY"),ROUND(((1+Request!$U$4)^Worksheet!$B$20*Worksheet!$C$9+(1+Request!$U$4)^(Worksheet!$B$20+1)*Worksheet!$C$10)/Worksheet!$C$5*Request!$E22,0),ROUND(Request!$E22/Worksheet!$C$5*Worksheet!$C$5,0)))))))</f>
        <v>100750</v>
      </c>
      <c r="C403" s="330"/>
      <c r="D403" s="329">
        <f ca="1">IF(Worksheet!$D$5=0,"",IF($C$4=$D$4,(IF(AND(Request!$U$4="Multi",Request!$T$4="FY"),ROUND(((1+Request!$O22)^(Worksheet!$B$20)*Worksheet!$D$9+(1+Request!$O22)^(Worksheet!$B$20+1)*Worksheet!$D$10)/Worksheet!$D$5*Request!$E22,0),(IF(AND(Request!$U$4="Multi",Request!$T$4="PY"),ROUND(Request!$E22*(1+Request!$O22)/Worksheet!$D$5*Worksheet!$D$5,0),(IF(AND(Request!$U$4&lt;&gt;"Multi",Request!$T$4="FY"),ROUND(((1+Request!$U$4)^(Worksheet!$B$20)*Worksheet!$D$9+(1+Request!$U$4)^(Worksheet!$B$20+1)*Worksheet!$D$10)/Worksheet!$D$5*Request!$E22,0),ROUND(Request!$E22*(1+Request!$U$4)/Worksheet!$D$5*Worksheet!$D$5,0))))))),(IF(AND(Request!$U$4="Multi",Request!$T$4="FY"),ROUND(((1+Request!$O22)^(Worksheet!$B$20+1)*Worksheet!$D$9+(1+Request!$O22)^(Worksheet!$B$20+2)*Worksheet!$D$10)/Worksheet!$D$5*Request!$E22,0),(IF(AND(Request!$U$4="Multi",Request!$T$4="PY"),ROUND(Request!$E22*(1+Request!$O22)/Worksheet!$D$5*Worksheet!$D$5,0),(IF(AND(Request!$U$4&lt;&gt;"Multi",Request!$T$4="FY"),ROUND(((1+Request!$U$4)^(Worksheet!$B$20+1)*Worksheet!$D$9+(1+Request!$U$4)^(Worksheet!$B$20+2)*Worksheet!$D$10)/Worksheet!$D$5*Request!$E22,0),ROUND(Request!$E22*(1+Request!$U$4)/Worksheet!$D$5*Worksheet!$D$5,0)))))))))</f>
        <v>103773</v>
      </c>
      <c r="E403" s="330"/>
      <c r="F403" s="329">
        <f ca="1">IF(Worksheet!$E$5=0,"",IF($C$4=$D$4,(IF(AND(Request!$U$4="Multi",Request!$T$4="FY"),ROUND(((1+Request!$O22)^(Worksheet!$B$20+1)*Worksheet!$E$9+(1+Request!$O22)^(Worksheet!$B$20+3)*Worksheet!$E$10)/Worksheet!$E$5*Request!$E22,0),(IF(AND(Request!$U$4="Multi",Request!$T$4="PY"),ROUND(Request!$E22*((1+Request!$O22)^2)/Worksheet!$E$5*Worksheet!$E$5,0),(IF(AND(Request!$U$4&lt;&gt;"Multi",Request!$T$4="FY"),ROUND(((1+Request!$U$4)^(Worksheet!$B$20+1)*Worksheet!$E$9+(1+Request!$U$4)^(Worksheet!$B$20+2)*Worksheet!$E$10)/Worksheet!$E$5*Request!$E22,0),ROUND(Request!$E22*((1+Request!$U$4)^2)/Worksheet!$E$5*Worksheet!$E$5,0))))))),(IF(AND(Request!$U$4="Multi",Request!$T$4="FY"),ROUND(((1+Request!$O22)^(Worksheet!$B$20+2)*Worksheet!$E$9+(1+Request!$O22)^(Worksheet!$B$20+3)*Worksheet!$E$10)/Worksheet!$E$5*Request!$E22,0),(IF(AND(Request!$U$4="Multi",Request!$T$4="PY"),ROUND(Request!$E22*((1+Request!$O22)^2)/Worksheet!$E$5*Worksheet!$E$5,0),(IF(AND(Request!$U$4&lt;&gt;"Multi",Request!$T$4="FY"),ROUND(((1+Request!$U$4)^(Worksheet!$B$20+2)*Worksheet!$E$9+(1+Request!$U$4)^(Worksheet!$B$20+3)*Worksheet!$E$10)/Worksheet!$E$5*Request!$E22,0),ROUND(Request!$E22*((1+Request!$U$4)^2)/Worksheet!$E$5*Worksheet!$E$5,0)))))))))</f>
        <v>106886</v>
      </c>
      <c r="G403" s="330"/>
      <c r="H403" s="329">
        <f ca="1">IF(Worksheet!$F$5=0,"",IF($C$4=$D$4,(IF(AND(Request!$U$4="Multi",Request!$T$4="FY"),ROUND(((1+Request!$O22)^(Worksheet!$B$20+2)*Worksheet!$F$9+(1+Request!$O22)^(Worksheet!$B$20+3)*Worksheet!$F$10)/Worksheet!$F$5*Request!$E22,0),(IF(AND(Request!$U$4="Multi",Request!$T$4="PY"),ROUND(Request!$E22*((1+Request!$O22)^3)/Worksheet!$F$5*Worksheet!$F$5,0),(IF(AND(Request!$U$4&lt;&gt;"Multi",Request!$T$4="FY"),ROUND(((1+Request!$U$4)^(Worksheet!$B$20+2)*Worksheet!$F$9+(1+Request!$U$4)^(Worksheet!$B$20+3)*Worksheet!$F$10)/Worksheet!$F$5*Request!$E22,0),ROUND(Request!$E22*((1+Request!$U$4)^3)/Worksheet!$F$5*Worksheet!$F$5,0))))))),(IF(AND(Request!$U$4="Multi",Request!$T$4="FY"),ROUND(((1+Request!$O22)^(Worksheet!$B$20+3)*Worksheet!$F$9+(1+Request!$O22)^(Worksheet!$B$20+4)*Worksheet!$F$10)/Worksheet!$F$5*Request!$E22,0),(IF(AND(Request!$U$4="Multi",Request!$T$4="PY"),ROUND(Request!$E22*((1+Request!$O22)^3)/Worksheet!$F$5*Worksheet!$F$5,0),(IF(AND(Request!$U$4&lt;&gt;"Multi",Request!$T$4="FY"),ROUND(((1+Request!$U$4)^(Worksheet!$B$20+3)*Worksheet!$F$9+(1+Request!$U$4)^(Worksheet!$B$20+4)*Worksheet!$F$10)/Worksheet!$F$5*Request!$E22,0),ROUND(Request!$E22*((1+Request!$U$4)^3)/Worksheet!$F$5*Worksheet!$F$5,0)))))))))</f>
        <v>110092</v>
      </c>
      <c r="I403" s="330"/>
      <c r="J403" s="329">
        <f ca="1">IF(Worksheet!$G$5=0,"",IF($C$4=$D$4,(IF(AND(Request!$U$4="Multi",Request!$T$4="FY"),ROUND(((1+Request!$O22)^(Worksheet!$B$20+3)*Worksheet!$G$9+(1+Request!$O22)^(Worksheet!$B$20+4)*Worksheet!$G$10)/Worksheet!$G$5*Request!$E22,0),(IF(AND(Request!$U$4="Multi",Request!$T$4="PY"),ROUND(Request!$E22*((1+Request!$O22)^4)/Worksheet!$G$5*Worksheet!$G$5,0),(IF(AND(Request!$U$4&lt;&gt;"Multi",Request!$T$4="FY"),ROUND(((1+Request!$U$4)^(Worksheet!$B$20+3)*Worksheet!$G$9+(1+Request!$U$4)^(Worksheet!$B$20+4)*Worksheet!$G$10)/Worksheet!$G$5*Request!$E22,0),ROUND(Request!$E22*((1+Request!$U$4)^4)/Worksheet!$G$5*Worksheet!$G$5,0))))))),(IF(AND(Request!$U$4="Multi",Request!$T$4="FY"),ROUND(((1+Request!$O22)^(Worksheet!$B$20+4)*Worksheet!$G$9+(1+Request!$O22)^(Worksheet!$B$20+5)*Worksheet!$G$10)/Worksheet!$G$5*Request!$E22,0),(IF(AND(Request!$U$4="Multi",Request!$T$4="PY"),ROUND(Request!$E22*((1+Request!$O22)^4)/Worksheet!$G$5*Worksheet!$G$5,0),(IF(AND(Request!$U$4&lt;&gt;"Multi",Request!$T$4="FY"),ROUND(((1+Request!$U$4)^(Worksheet!$B$20+4)*Worksheet!$G$9+(1+Request!$U$4)^(Worksheet!$B$20+5)*Worksheet!$G$10)/Worksheet!$G$5*Request!$E22,0),ROUND(Request!$E22*((1+Request!$U$4)^4)/Worksheet!$G$5*Worksheet!$G$5,0)))))))))</f>
        <v>113395</v>
      </c>
      <c r="K403" s="330"/>
      <c r="L403" s="307">
        <f ca="1">IF(Worksheet!$C$5=0,"",IF(AND(Request!$U$4="Multi",Request!$T$4="FY"),ROUND(((1+Request!$O22)^Worksheet!$B$20*Worksheet!$C$9+(1+Request!$O22)^(Worksheet!$B$20+1)*Worksheet!$C$10)/(Worksheet!$C$5)*Request!$G22,0),(IF(AND(Request!$U$4="Multi",Request!$T$4="PY"),ROUND(Request!$G22/(Worksheet!$C$5)*Worksheet!$C$5,0),(IF(AND(Request!$U$4&lt;&gt;"Multi",Request!$T$4="FY"),ROUND(((1+Request!$U$4)^Worksheet!$B$20*Worksheet!$C$9+(1+Request!$U$4)^(Worksheet!$B$20+1)*Worksheet!$C$10)/Worksheet!$C$5*Request!$G22,0),ROUND(Request!$G22/Worksheet!$C$5*Worksheet!$C$5,0)))))))</f>
        <v>100750</v>
      </c>
      <c r="M403" s="307"/>
      <c r="N403" s="307">
        <f ca="1">IF(Worksheet!$D$5=0,"",IF($C$4=$D$4,(IF(AND(Request!$U$4="Multi",Request!$T$4="FY"),ROUND(((1+Request!$O22)^(Worksheet!$B$20)*Worksheet!$D$9+(1+Request!$O22)^(Worksheet!$B$20+1)*Worksheet!$D$10)/Worksheet!$D$5*Request!$G22,0),(IF(AND(Request!$U$4="Multi",Request!$T$4="PY"),ROUND(Request!$G22*(1+Request!$O22)/Worksheet!$D$5*Worksheet!$D$5,0),(IF(AND(Request!$U$4&lt;&gt;"Multi",Request!$T$4="FY"),ROUND(((1+Request!$U$4)^(Worksheet!$B$20)*Worksheet!$D$9+(1+Request!$U$4)^(Worksheet!$B$20+1)*Worksheet!$D$10)/Worksheet!$D$5*Request!$G22,0),ROUND(Request!$G22*(1+Request!$U$4)/Worksheet!$D$5*Worksheet!$D$5,0))))))),(IF(AND(Request!$U$4="Multi",Request!$T$4="FY"),ROUND(((1+Request!$O22)^(Worksheet!$B$20+1)*Worksheet!$D$9+(1+Request!$O22)^(Worksheet!$B$20+2)*Worksheet!$D$10)/Worksheet!$D$5*Request!$G22,0),(IF(AND(Request!$U$4="Multi",Request!$T$4="PY"),ROUND(Request!$G22*(1+Request!$O22)/Worksheet!$D$5*Worksheet!$D$5,0),(IF(AND(Request!$U$4&lt;&gt;"Multi",Request!$T$4="FY"),ROUND(((1+Request!$U$4)^(Worksheet!$B$20+1)*Worksheet!$D$9+(1+Request!$U$4)^(Worksheet!$B$20+2)*Worksheet!$D$10)/Worksheet!$D$5*Request!$G22,0),ROUND(Request!$G22*(1+Request!$U$4)/Worksheet!$D$5*Worksheet!$D$5,0)))))))))</f>
        <v>103773</v>
      </c>
      <c r="O403" s="307"/>
      <c r="P403" s="307">
        <f ca="1">IF(Worksheet!$E$5=0,"",IF($C$4=$D$4,(IF(AND(Request!$U$4="Multi",Request!$T$4="FY"),ROUND(((1+Request!$O22)^(Worksheet!$B$20+1)*Worksheet!$E$9+(1+Request!$O22)^(Worksheet!$B$20+2)*Worksheet!$E$10)/Worksheet!$E$5*Request!$G22,0),(IF(AND(Request!$U$4="Multi",Request!$T$4="PY"),ROUND(Request!$G22*((1+Request!$O22)^2)/Worksheet!$E$5*Worksheet!$E$5,0),(IF(AND(Request!$U$4&lt;&gt;"Multi",Request!$T$4="FY"),ROUND(((1+Request!$U$4)^(Worksheet!$B$20+1)*Worksheet!$E$9+(1+Request!$U$4)^(Worksheet!$B$20+2)*Worksheet!$E$10)/Worksheet!$E$5*Request!$G22,0),ROUND(Request!$G22*((1+Request!$U$4)^2)/Worksheet!$E$5*Worksheet!$E$5,0))))))),(IF(AND(Request!$U$4="Multi",Request!$T$4="FY"),ROUND(((1+Request!$O22)^(Worksheet!$B$20+2)*Worksheet!$E$9+(1+Request!$O22)^(Worksheet!$B$20+3)*Worksheet!$E$10)/Worksheet!$E$5*Request!$G22,0),(IF(AND(Request!$U$4="Multi",Request!$T$4="PY"),ROUND(Request!$G22*((1+Request!$O22)^2)/Worksheet!$E$5*Worksheet!$E$5,0),(IF(AND(Request!$U$4&lt;&gt;"Multi",Request!$T$4="FY"),ROUND(((1+Request!$U$4)^(Worksheet!$B$20+2)*Worksheet!$E$9+(1+Request!$U$4)^(Worksheet!$B$20+3)*Worksheet!$E$10)/Worksheet!$E$5*Request!$G22,0),ROUND(Request!$G22*((1+Request!$U$4)^2)/Worksheet!$E$5*Worksheet!$E$5,0)))))))))</f>
        <v>106886</v>
      </c>
      <c r="Q403" s="307"/>
      <c r="R403" s="307">
        <f ca="1">IF(Worksheet!$F$5=0,"",IF($C$4=$D$4,(IF(AND(Request!$U$4="Multi",Request!$T$4="FY"),ROUND(((1+Request!$O22)^(Worksheet!$B$20+2)*Worksheet!$F$9+(1+Request!$O22)^(Worksheet!$B$20+3)*Worksheet!$F$10)/Worksheet!$F$5*Request!$G22,0),(IF(AND(Request!$U$4="Multi",Request!$T$4="PY"),ROUND(Request!$G22*((1+Request!$O22)^3)/Worksheet!$F$5*Worksheet!$F$5,0),(IF(AND(Request!$U$4&lt;&gt;"Multi",Request!$T$4="FY"),ROUND(((1+Request!$U$4)^(Worksheet!$B$20+2)*Worksheet!$F$9+(1+Request!$U$4)^(Worksheet!$B$20+3)*Worksheet!$F$10)/Worksheet!$F$5*Request!$G22,0),ROUND(Request!$G22*((1+Request!$U$4)^3)/Worksheet!$F$5*Worksheet!$F$5,0))))))),(IF(AND(Request!$U$4="Multi",Request!$T$4="FY"),ROUND(((1+Request!$O22)^(Worksheet!$B$20+3)*Worksheet!$F$9+(1+Request!$O22)^(Worksheet!$B$20+4)*Worksheet!$F$10)/Worksheet!$F$5*Request!$G22,0),(IF(AND(Request!$U$4="Multi",Request!$T$4="PY"),ROUND(Request!$G22*((1+Request!$O22)^3)/Worksheet!$F$5*Worksheet!$F$5,0),(IF(AND(Request!$U$4&lt;&gt;"Multi",Request!$T$4="FY"),ROUND(((1+Request!$U$4)^(Worksheet!$B$20+3)*Worksheet!$F$9+(1+Request!$U$4)^(Worksheet!$B$20+4)*Worksheet!$F$10)/Worksheet!$F$5*Request!$G22,0),ROUND(Request!$G22*((1+Request!$U$4)^3)/Worksheet!$F$5*Worksheet!$F$5,0)))))))))</f>
        <v>110092</v>
      </c>
      <c r="S403" s="307"/>
      <c r="T403" s="307">
        <f ca="1">IF(Worksheet!$G$5=0,"",IF($C$4=$D$4,(IF(AND(Request!$U$4="Multi",Request!$T$4="FY"),ROUND(((1+Request!$O22)^(Worksheet!$B$20+3)*Worksheet!$G$9+(1+Request!$O22)^(Worksheet!$B$20+4)*Worksheet!$G$10)/Worksheet!$G$5*Request!$G22,0),(IF(AND(Request!$U$4="Multi",Request!$T$4="PY"),ROUND(Request!$G22*((1+Request!$O22)^4)/Worksheet!$G$5*Worksheet!$G$5,0),(IF(AND(Request!$U$4&lt;&gt;"Multi",Request!$T$4="FY"),ROUND(((1+Request!$U$4)^(Worksheet!$B$20+3)*Worksheet!$G$9+(1+Request!$U$4)^(Worksheet!$B$20+4)*Worksheet!$G$10)/Worksheet!$G$5*Request!$G22,0),ROUND(Request!$G22*((1+Request!$U$4)^4)/Worksheet!$G$5*Worksheet!$G$5,0))))))),(IF(AND(Request!$U$4="Multi",Request!$T$4="FY"),ROUND(((1+Request!$O22)^(Worksheet!$B$20+4)*Worksheet!$G$9+(1+Request!$O22)^(Worksheet!$B$20+5)*Worksheet!$G$10)/Worksheet!$G$5*Request!$G22,0),(IF(AND(Request!$U$4="Multi",Request!$T$4="PY"),ROUND(Request!$G22*((1+Request!$O22)^4)/Worksheet!$G$5*Worksheet!$G$5,0),(IF(AND(Request!$U$4&lt;&gt;"Multi",Request!$T$4="FY"),ROUND(((1+Request!$U$4)^(Worksheet!$B$20+4)*Worksheet!$G$9+(1+Request!$U$4)^(Worksheet!$B$20+5)*Worksheet!$G$10)/Worksheet!$G$5*Request!$G22,0),ROUND(Request!$G22*((1+Request!$U$4)^4)/Worksheet!$G$5*Worksheet!$G$5,0)))))))))</f>
        <v>113395</v>
      </c>
      <c r="U403" s="307"/>
    </row>
    <row r="404" spans="1:21" x14ac:dyDescent="0.2">
      <c r="A404" s="71">
        <f>'Personnel Reference'!B19</f>
        <v>0</v>
      </c>
      <c r="B404" s="329">
        <f ca="1">IF(Worksheet!$C$5=0,"",IF(AND(Request!$U$4="Multi",Request!$T$4="FY"),ROUND(((1+Request!$O23)^Worksheet!$B$20*Worksheet!$C$9+(1+Request!$O23)^(Worksheet!$B$20+1)*Worksheet!$C$10)/(Worksheet!$C$5)*Request!$E23,0),(IF(AND(Request!$U$4="Multi",Request!$T$4="PY"),ROUND(Request!$E23/(Worksheet!$C$5)*Worksheet!$C$5,0),(IF(AND(Request!$U$4&lt;&gt;"Multi",Request!$T$4="FY"),ROUND(((1+Request!$U$4)^Worksheet!$B$20*Worksheet!$C$9+(1+Request!$U$4)^(Worksheet!$B$20+1)*Worksheet!$C$10)/Worksheet!$C$5*Request!$E23,0),ROUND(Request!$E23/Worksheet!$C$5*Worksheet!$C$5,0)))))))</f>
        <v>100750</v>
      </c>
      <c r="C404" s="330"/>
      <c r="D404" s="329">
        <f ca="1">IF(Worksheet!$D$5=0,"",IF($C$4=$D$4,(IF(AND(Request!$U$4="Multi",Request!$T$4="FY"),ROUND(((1+Request!$O23)^(Worksheet!$B$20)*Worksheet!$D$9+(1+Request!$O23)^(Worksheet!$B$20+1)*Worksheet!$D$10)/Worksheet!$D$5*Request!$E23,0),(IF(AND(Request!$U$4="Multi",Request!$T$4="PY"),ROUND(Request!$E23*(1+Request!$O23)/Worksheet!$D$5*Worksheet!$D$5,0),(IF(AND(Request!$U$4&lt;&gt;"Multi",Request!$T$4="FY"),ROUND(((1+Request!$U$4)^(Worksheet!$B$20)*Worksheet!$D$9+(1+Request!$U$4)^(Worksheet!$B$20+1)*Worksheet!$D$10)/Worksheet!$D$5*Request!$E23,0),ROUND(Request!$E23*(1+Request!$U$4)/Worksheet!$D$5*Worksheet!$D$5,0))))))),(IF(AND(Request!$U$4="Multi",Request!$T$4="FY"),ROUND(((1+Request!$O23)^(Worksheet!$B$20+1)*Worksheet!$D$9+(1+Request!$O23)^(Worksheet!$B$20+2)*Worksheet!$D$10)/Worksheet!$D$5*Request!$E23,0),(IF(AND(Request!$U$4="Multi",Request!$T$4="PY"),ROUND(Request!$E23*(1+Request!$O23)/Worksheet!$D$5*Worksheet!$D$5,0),(IF(AND(Request!$U$4&lt;&gt;"Multi",Request!$T$4="FY"),ROUND(((1+Request!$U$4)^(Worksheet!$B$20+1)*Worksheet!$D$9+(1+Request!$U$4)^(Worksheet!$B$20+2)*Worksheet!$D$10)/Worksheet!$D$5*Request!$E23,0),ROUND(Request!$E23*(1+Request!$U$4)/Worksheet!$D$5*Worksheet!$D$5,0)))))))))</f>
        <v>103773</v>
      </c>
      <c r="E404" s="330"/>
      <c r="F404" s="329">
        <f ca="1">IF(Worksheet!$E$5=0,"",IF($C$4=$D$4,(IF(AND(Request!$U$4="Multi",Request!$T$4="FY"),ROUND(((1+Request!$O23)^(Worksheet!$B$20+1)*Worksheet!$E$9+(1+Request!$O23)^(Worksheet!$B$20+3)*Worksheet!$E$10)/Worksheet!$E$5*Request!$E23,0),(IF(AND(Request!$U$4="Multi",Request!$T$4="PY"),ROUND(Request!$E23*((1+Request!$O23)^2)/Worksheet!$E$5*Worksheet!$E$5,0),(IF(AND(Request!$U$4&lt;&gt;"Multi",Request!$T$4="FY"),ROUND(((1+Request!$U$4)^(Worksheet!$B$20+1)*Worksheet!$E$9+(1+Request!$U$4)^(Worksheet!$B$20+2)*Worksheet!$E$10)/Worksheet!$E$5*Request!$E23,0),ROUND(Request!$E23*((1+Request!$U$4)^2)/Worksheet!$E$5*Worksheet!$E$5,0))))))),(IF(AND(Request!$U$4="Multi",Request!$T$4="FY"),ROUND(((1+Request!$O23)^(Worksheet!$B$20+2)*Worksheet!$E$9+(1+Request!$O23)^(Worksheet!$B$20+3)*Worksheet!$E$10)/Worksheet!$E$5*Request!$E23,0),(IF(AND(Request!$U$4="Multi",Request!$T$4="PY"),ROUND(Request!$E23*((1+Request!$O23)^2)/Worksheet!$E$5*Worksheet!$E$5,0),(IF(AND(Request!$U$4&lt;&gt;"Multi",Request!$T$4="FY"),ROUND(((1+Request!$U$4)^(Worksheet!$B$20+2)*Worksheet!$E$9+(1+Request!$U$4)^(Worksheet!$B$20+3)*Worksheet!$E$10)/Worksheet!$E$5*Request!$E23,0),ROUND(Request!$E23*((1+Request!$U$4)^2)/Worksheet!$E$5*Worksheet!$E$5,0)))))))))</f>
        <v>106886</v>
      </c>
      <c r="G404" s="330"/>
      <c r="H404" s="329">
        <f ca="1">IF(Worksheet!$F$5=0,"",IF($C$4=$D$4,(IF(AND(Request!$U$4="Multi",Request!$T$4="FY"),ROUND(((1+Request!$O23)^(Worksheet!$B$20+2)*Worksheet!$F$9+(1+Request!$O23)^(Worksheet!$B$20+3)*Worksheet!$F$10)/Worksheet!$F$5*Request!$E23,0),(IF(AND(Request!$U$4="Multi",Request!$T$4="PY"),ROUND(Request!$E23*((1+Request!$O23)^3)/Worksheet!$F$5*Worksheet!$F$5,0),(IF(AND(Request!$U$4&lt;&gt;"Multi",Request!$T$4="FY"),ROUND(((1+Request!$U$4)^(Worksheet!$B$20+2)*Worksheet!$F$9+(1+Request!$U$4)^(Worksheet!$B$20+3)*Worksheet!$F$10)/Worksheet!$F$5*Request!$E23,0),ROUND(Request!$E23*((1+Request!$U$4)^3)/Worksheet!$F$5*Worksheet!$F$5,0))))))),(IF(AND(Request!$U$4="Multi",Request!$T$4="FY"),ROUND(((1+Request!$O23)^(Worksheet!$B$20+3)*Worksheet!$F$9+(1+Request!$O23)^(Worksheet!$B$20+4)*Worksheet!$F$10)/Worksheet!$F$5*Request!$E23,0),(IF(AND(Request!$U$4="Multi",Request!$T$4="PY"),ROUND(Request!$E23*((1+Request!$O23)^3)/Worksheet!$F$5*Worksheet!$F$5,0),(IF(AND(Request!$U$4&lt;&gt;"Multi",Request!$T$4="FY"),ROUND(((1+Request!$U$4)^(Worksheet!$B$20+3)*Worksheet!$F$9+(1+Request!$U$4)^(Worksheet!$B$20+4)*Worksheet!$F$10)/Worksheet!$F$5*Request!$E23,0),ROUND(Request!$E23*((1+Request!$U$4)^3)/Worksheet!$F$5*Worksheet!$F$5,0)))))))))</f>
        <v>110092</v>
      </c>
      <c r="I404" s="330"/>
      <c r="J404" s="329">
        <f ca="1">IF(Worksheet!$G$5=0,"",IF($C$4=$D$4,(IF(AND(Request!$U$4="Multi",Request!$T$4="FY"),ROUND(((1+Request!$O23)^(Worksheet!$B$20+3)*Worksheet!$G$9+(1+Request!$O23)^(Worksheet!$B$20+4)*Worksheet!$G$10)/Worksheet!$G$5*Request!$E23,0),(IF(AND(Request!$U$4="Multi",Request!$T$4="PY"),ROUND(Request!$E23*((1+Request!$O23)^4)/Worksheet!$G$5*Worksheet!$G$5,0),(IF(AND(Request!$U$4&lt;&gt;"Multi",Request!$T$4="FY"),ROUND(((1+Request!$U$4)^(Worksheet!$B$20+3)*Worksheet!$G$9+(1+Request!$U$4)^(Worksheet!$B$20+4)*Worksheet!$G$10)/Worksheet!$G$5*Request!$E23,0),ROUND(Request!$E23*((1+Request!$U$4)^4)/Worksheet!$G$5*Worksheet!$G$5,0))))))),(IF(AND(Request!$U$4="Multi",Request!$T$4="FY"),ROUND(((1+Request!$O23)^(Worksheet!$B$20+4)*Worksheet!$G$9+(1+Request!$O23)^(Worksheet!$B$20+5)*Worksheet!$G$10)/Worksheet!$G$5*Request!$E23,0),(IF(AND(Request!$U$4="Multi",Request!$T$4="PY"),ROUND(Request!$E23*((1+Request!$O23)^4)/Worksheet!$G$5*Worksheet!$G$5,0),(IF(AND(Request!$U$4&lt;&gt;"Multi",Request!$T$4="FY"),ROUND(((1+Request!$U$4)^(Worksheet!$B$20+4)*Worksheet!$G$9+(1+Request!$U$4)^(Worksheet!$B$20+5)*Worksheet!$G$10)/Worksheet!$G$5*Request!$E23,0),ROUND(Request!$E23*((1+Request!$U$4)^4)/Worksheet!$G$5*Worksheet!$G$5,0)))))))))</f>
        <v>113395</v>
      </c>
      <c r="K404" s="330"/>
      <c r="L404" s="307">
        <f ca="1">IF(Worksheet!$C$5=0,"",IF(AND(Request!$U$4="Multi",Request!$T$4="FY"),ROUND(((1+Request!$O23)^Worksheet!$B$20*Worksheet!$C$9+(1+Request!$O23)^(Worksheet!$B$20+1)*Worksheet!$C$10)/(Worksheet!$C$5)*Request!$G23,0),(IF(AND(Request!$U$4="Multi",Request!$T$4="PY"),ROUND(Request!$G23/(Worksheet!$C$5)*Worksheet!$C$5,0),(IF(AND(Request!$U$4&lt;&gt;"Multi",Request!$T$4="FY"),ROUND(((1+Request!$U$4)^Worksheet!$B$20*Worksheet!$C$9+(1+Request!$U$4)^(Worksheet!$B$20+1)*Worksheet!$C$10)/Worksheet!$C$5*Request!$G23,0),ROUND(Request!$G23/Worksheet!$C$5*Worksheet!$C$5,0)))))))</f>
        <v>100750</v>
      </c>
      <c r="M404" s="307"/>
      <c r="N404" s="307">
        <f ca="1">IF(Worksheet!$D$5=0,"",IF($C$4=$D$4,(IF(AND(Request!$U$4="Multi",Request!$T$4="FY"),ROUND(((1+Request!$O23)^(Worksheet!$B$20)*Worksheet!$D$9+(1+Request!$O23)^(Worksheet!$B$20+1)*Worksheet!$D$10)/Worksheet!$D$5*Request!$G23,0),(IF(AND(Request!$U$4="Multi",Request!$T$4="PY"),ROUND(Request!$G23*(1+Request!$O23)/Worksheet!$D$5*Worksheet!$D$5,0),(IF(AND(Request!$U$4&lt;&gt;"Multi",Request!$T$4="FY"),ROUND(((1+Request!$U$4)^(Worksheet!$B$20)*Worksheet!$D$9+(1+Request!$U$4)^(Worksheet!$B$20+1)*Worksheet!$D$10)/Worksheet!$D$5*Request!$G23,0),ROUND(Request!$G23*(1+Request!$U$4)/Worksheet!$D$5*Worksheet!$D$5,0))))))),(IF(AND(Request!$U$4="Multi",Request!$T$4="FY"),ROUND(((1+Request!$O23)^(Worksheet!$B$20+1)*Worksheet!$D$9+(1+Request!$O23)^(Worksheet!$B$20+2)*Worksheet!$D$10)/Worksheet!$D$5*Request!$G23,0),(IF(AND(Request!$U$4="Multi",Request!$T$4="PY"),ROUND(Request!$G23*(1+Request!$O23)/Worksheet!$D$5*Worksheet!$D$5,0),(IF(AND(Request!$U$4&lt;&gt;"Multi",Request!$T$4="FY"),ROUND(((1+Request!$U$4)^(Worksheet!$B$20+1)*Worksheet!$D$9+(1+Request!$U$4)^(Worksheet!$B$20+2)*Worksheet!$D$10)/Worksheet!$D$5*Request!$G23,0),ROUND(Request!$G23*(1+Request!$U$4)/Worksheet!$D$5*Worksheet!$D$5,0)))))))))</f>
        <v>103773</v>
      </c>
      <c r="O404" s="307"/>
      <c r="P404" s="307">
        <f ca="1">IF(Worksheet!$E$5=0,"",IF($C$4=$D$4,(IF(AND(Request!$U$4="Multi",Request!$T$4="FY"),ROUND(((1+Request!$O23)^(Worksheet!$B$20+1)*Worksheet!$E$9+(1+Request!$O23)^(Worksheet!$B$20+2)*Worksheet!$E$10)/Worksheet!$E$5*Request!$G23,0),(IF(AND(Request!$U$4="Multi",Request!$T$4="PY"),ROUND(Request!$G23*((1+Request!$O23)^2)/Worksheet!$E$5*Worksheet!$E$5,0),(IF(AND(Request!$U$4&lt;&gt;"Multi",Request!$T$4="FY"),ROUND(((1+Request!$U$4)^(Worksheet!$B$20+1)*Worksheet!$E$9+(1+Request!$U$4)^(Worksheet!$B$20+2)*Worksheet!$E$10)/Worksheet!$E$5*Request!$G23,0),ROUND(Request!$G23*((1+Request!$U$4)^2)/Worksheet!$E$5*Worksheet!$E$5,0))))))),(IF(AND(Request!$U$4="Multi",Request!$T$4="FY"),ROUND(((1+Request!$O23)^(Worksheet!$B$20+2)*Worksheet!$E$9+(1+Request!$O23)^(Worksheet!$B$20+3)*Worksheet!$E$10)/Worksheet!$E$5*Request!$G23,0),(IF(AND(Request!$U$4="Multi",Request!$T$4="PY"),ROUND(Request!$G23*((1+Request!$O23)^2)/Worksheet!$E$5*Worksheet!$E$5,0),(IF(AND(Request!$U$4&lt;&gt;"Multi",Request!$T$4="FY"),ROUND(((1+Request!$U$4)^(Worksheet!$B$20+2)*Worksheet!$E$9+(1+Request!$U$4)^(Worksheet!$B$20+3)*Worksheet!$E$10)/Worksheet!$E$5*Request!$G23,0),ROUND(Request!$G23*((1+Request!$U$4)^2)/Worksheet!$E$5*Worksheet!$E$5,0)))))))))</f>
        <v>106886</v>
      </c>
      <c r="Q404" s="307"/>
      <c r="R404" s="307">
        <f ca="1">IF(Worksheet!$F$5=0,"",IF($C$4=$D$4,(IF(AND(Request!$U$4="Multi",Request!$T$4="FY"),ROUND(((1+Request!$O23)^(Worksheet!$B$20+2)*Worksheet!$F$9+(1+Request!$O23)^(Worksheet!$B$20+3)*Worksheet!$F$10)/Worksheet!$F$5*Request!$G23,0),(IF(AND(Request!$U$4="Multi",Request!$T$4="PY"),ROUND(Request!$G23*((1+Request!$O23)^3)/Worksheet!$F$5*Worksheet!$F$5,0),(IF(AND(Request!$U$4&lt;&gt;"Multi",Request!$T$4="FY"),ROUND(((1+Request!$U$4)^(Worksheet!$B$20+2)*Worksheet!$F$9+(1+Request!$U$4)^(Worksheet!$B$20+3)*Worksheet!$F$10)/Worksheet!$F$5*Request!$G23,0),ROUND(Request!$G23*((1+Request!$U$4)^3)/Worksheet!$F$5*Worksheet!$F$5,0))))))),(IF(AND(Request!$U$4="Multi",Request!$T$4="FY"),ROUND(((1+Request!$O23)^(Worksheet!$B$20+3)*Worksheet!$F$9+(1+Request!$O23)^(Worksheet!$B$20+4)*Worksheet!$F$10)/Worksheet!$F$5*Request!$G23,0),(IF(AND(Request!$U$4="Multi",Request!$T$4="PY"),ROUND(Request!$G23*((1+Request!$O23)^3)/Worksheet!$F$5*Worksheet!$F$5,0),(IF(AND(Request!$U$4&lt;&gt;"Multi",Request!$T$4="FY"),ROUND(((1+Request!$U$4)^(Worksheet!$B$20+3)*Worksheet!$F$9+(1+Request!$U$4)^(Worksheet!$B$20+4)*Worksheet!$F$10)/Worksheet!$F$5*Request!$G23,0),ROUND(Request!$G23*((1+Request!$U$4)^3)/Worksheet!$F$5*Worksheet!$F$5,0)))))))))</f>
        <v>110092</v>
      </c>
      <c r="S404" s="307"/>
      <c r="T404" s="307">
        <f ca="1">IF(Worksheet!$G$5=0,"",IF($C$4=$D$4,(IF(AND(Request!$U$4="Multi",Request!$T$4="FY"),ROUND(((1+Request!$O23)^(Worksheet!$B$20+3)*Worksheet!$G$9+(1+Request!$O23)^(Worksheet!$B$20+4)*Worksheet!$G$10)/Worksheet!$G$5*Request!$G23,0),(IF(AND(Request!$U$4="Multi",Request!$T$4="PY"),ROUND(Request!$G23*((1+Request!$O23)^4)/Worksheet!$G$5*Worksheet!$G$5,0),(IF(AND(Request!$U$4&lt;&gt;"Multi",Request!$T$4="FY"),ROUND(((1+Request!$U$4)^(Worksheet!$B$20+3)*Worksheet!$G$9+(1+Request!$U$4)^(Worksheet!$B$20+4)*Worksheet!$G$10)/Worksheet!$G$5*Request!$G23,0),ROUND(Request!$G23*((1+Request!$U$4)^4)/Worksheet!$G$5*Worksheet!$G$5,0))))))),(IF(AND(Request!$U$4="Multi",Request!$T$4="FY"),ROUND(((1+Request!$O23)^(Worksheet!$B$20+4)*Worksheet!$G$9+(1+Request!$O23)^(Worksheet!$B$20+5)*Worksheet!$G$10)/Worksheet!$G$5*Request!$G23,0),(IF(AND(Request!$U$4="Multi",Request!$T$4="PY"),ROUND(Request!$G23*((1+Request!$O23)^4)/Worksheet!$G$5*Worksheet!$G$5,0),(IF(AND(Request!$U$4&lt;&gt;"Multi",Request!$T$4="FY"),ROUND(((1+Request!$U$4)^(Worksheet!$B$20+4)*Worksheet!$G$9+(1+Request!$U$4)^(Worksheet!$B$20+5)*Worksheet!$G$10)/Worksheet!$G$5*Request!$G23,0),ROUND(Request!$G23*((1+Request!$U$4)^4)/Worksheet!$G$5*Worksheet!$G$5,0)))))))))</f>
        <v>113395</v>
      </c>
      <c r="U404" s="307"/>
    </row>
    <row r="405" spans="1:21" x14ac:dyDescent="0.2">
      <c r="A405" s="71">
        <f>'Personnel Reference'!B20</f>
        <v>0</v>
      </c>
      <c r="B405" s="329">
        <f ca="1">IF(Worksheet!$C$5=0,"",IF(AND(Request!$U$4="Multi",Request!$T$4="FY"),ROUND(((1+Request!$O24)^Worksheet!$B$20*Worksheet!$C$9+(1+Request!$O24)^(Worksheet!$B$20+1)*Worksheet!$C$10)/(Worksheet!$C$5)*Request!$E24,0),(IF(AND(Request!$U$4="Multi",Request!$T$4="PY"),ROUND(Request!$E24/(Worksheet!$C$5)*Worksheet!$C$5,0),(IF(AND(Request!$U$4&lt;&gt;"Multi",Request!$T$4="FY"),ROUND(((1+Request!$U$4)^Worksheet!$B$20*Worksheet!$C$9+(1+Request!$U$4)^(Worksheet!$B$20+1)*Worksheet!$C$10)/Worksheet!$C$5*Request!$E24,0),ROUND(Request!$E24/Worksheet!$C$5*Worksheet!$C$5,0)))))))</f>
        <v>100750</v>
      </c>
      <c r="C405" s="330"/>
      <c r="D405" s="329">
        <f ca="1">IF(Worksheet!$D$5=0,"",IF($C$4=$D$4,(IF(AND(Request!$U$4="Multi",Request!$T$4="FY"),ROUND(((1+Request!$O24)^(Worksheet!$B$20)*Worksheet!$D$9+(1+Request!$O24)^(Worksheet!$B$20+1)*Worksheet!$D$10)/Worksheet!$D$5*Request!$E24,0),(IF(AND(Request!$U$4="Multi",Request!$T$4="PY"),ROUND(Request!$E24*(1+Request!$O24)/Worksheet!$D$5*Worksheet!$D$5,0),(IF(AND(Request!$U$4&lt;&gt;"Multi",Request!$T$4="FY"),ROUND(((1+Request!$U$4)^(Worksheet!$B$20)*Worksheet!$D$9+(1+Request!$U$4)^(Worksheet!$B$20+1)*Worksheet!$D$10)/Worksheet!$D$5*Request!$E24,0),ROUND(Request!$E24*(1+Request!$U$4)/Worksheet!$D$5*Worksheet!$D$5,0))))))),(IF(AND(Request!$U$4="Multi",Request!$T$4="FY"),ROUND(((1+Request!$O24)^(Worksheet!$B$20+1)*Worksheet!$D$9+(1+Request!$O24)^(Worksheet!$B$20+2)*Worksheet!$D$10)/Worksheet!$D$5*Request!$E24,0),(IF(AND(Request!$U$4="Multi",Request!$T$4="PY"),ROUND(Request!$E24*(1+Request!$O24)/Worksheet!$D$5*Worksheet!$D$5,0),(IF(AND(Request!$U$4&lt;&gt;"Multi",Request!$T$4="FY"),ROUND(((1+Request!$U$4)^(Worksheet!$B$20+1)*Worksheet!$D$9+(1+Request!$U$4)^(Worksheet!$B$20+2)*Worksheet!$D$10)/Worksheet!$D$5*Request!$E24,0),ROUND(Request!$E24*(1+Request!$U$4)/Worksheet!$D$5*Worksheet!$D$5,0)))))))))</f>
        <v>103773</v>
      </c>
      <c r="E405" s="330"/>
      <c r="F405" s="329">
        <f ca="1">IF(Worksheet!$E$5=0,"",IF($C$4=$D$4,(IF(AND(Request!$U$4="Multi",Request!$T$4="FY"),ROUND(((1+Request!$O24)^(Worksheet!$B$20+1)*Worksheet!$E$9+(1+Request!$O24)^(Worksheet!$B$20+3)*Worksheet!$E$10)/Worksheet!$E$5*Request!$E24,0),(IF(AND(Request!$U$4="Multi",Request!$T$4="PY"),ROUND(Request!$E24*((1+Request!$O24)^2)/Worksheet!$E$5*Worksheet!$E$5,0),(IF(AND(Request!$U$4&lt;&gt;"Multi",Request!$T$4="FY"),ROUND(((1+Request!$U$4)^(Worksheet!$B$20+1)*Worksheet!$E$9+(1+Request!$U$4)^(Worksheet!$B$20+2)*Worksheet!$E$10)/Worksheet!$E$5*Request!$E24,0),ROUND(Request!$E24*((1+Request!$U$4)^2)/Worksheet!$E$5*Worksheet!$E$5,0))))))),(IF(AND(Request!$U$4="Multi",Request!$T$4="FY"),ROUND(((1+Request!$O24)^(Worksheet!$B$20+2)*Worksheet!$E$9+(1+Request!$O24)^(Worksheet!$B$20+3)*Worksheet!$E$10)/Worksheet!$E$5*Request!$E24,0),(IF(AND(Request!$U$4="Multi",Request!$T$4="PY"),ROUND(Request!$E24*((1+Request!$O24)^2)/Worksheet!$E$5*Worksheet!$E$5,0),(IF(AND(Request!$U$4&lt;&gt;"Multi",Request!$T$4="FY"),ROUND(((1+Request!$U$4)^(Worksheet!$B$20+2)*Worksheet!$E$9+(1+Request!$U$4)^(Worksheet!$B$20+3)*Worksheet!$E$10)/Worksheet!$E$5*Request!$E24,0),ROUND(Request!$E24*((1+Request!$U$4)^2)/Worksheet!$E$5*Worksheet!$E$5,0)))))))))</f>
        <v>106886</v>
      </c>
      <c r="G405" s="330"/>
      <c r="H405" s="329">
        <f ca="1">IF(Worksheet!$F$5=0,"",IF($C$4=$D$4,(IF(AND(Request!$U$4="Multi",Request!$T$4="FY"),ROUND(((1+Request!$O24)^(Worksheet!$B$20+2)*Worksheet!$F$9+(1+Request!$O24)^(Worksheet!$B$20+3)*Worksheet!$F$10)/Worksheet!$F$5*Request!$E24,0),(IF(AND(Request!$U$4="Multi",Request!$T$4="PY"),ROUND(Request!$E24*((1+Request!$O24)^3)/Worksheet!$F$5*Worksheet!$F$5,0),(IF(AND(Request!$U$4&lt;&gt;"Multi",Request!$T$4="FY"),ROUND(((1+Request!$U$4)^(Worksheet!$B$20+2)*Worksheet!$F$9+(1+Request!$U$4)^(Worksheet!$B$20+3)*Worksheet!$F$10)/Worksheet!$F$5*Request!$E24,0),ROUND(Request!$E24*((1+Request!$U$4)^3)/Worksheet!$F$5*Worksheet!$F$5,0))))))),(IF(AND(Request!$U$4="Multi",Request!$T$4="FY"),ROUND(((1+Request!$O24)^(Worksheet!$B$20+3)*Worksheet!$F$9+(1+Request!$O24)^(Worksheet!$B$20+4)*Worksheet!$F$10)/Worksheet!$F$5*Request!$E24,0),(IF(AND(Request!$U$4="Multi",Request!$T$4="PY"),ROUND(Request!$E24*((1+Request!$O24)^3)/Worksheet!$F$5*Worksheet!$F$5,0),(IF(AND(Request!$U$4&lt;&gt;"Multi",Request!$T$4="FY"),ROUND(((1+Request!$U$4)^(Worksheet!$B$20+3)*Worksheet!$F$9+(1+Request!$U$4)^(Worksheet!$B$20+4)*Worksheet!$F$10)/Worksheet!$F$5*Request!$E24,0),ROUND(Request!$E24*((1+Request!$U$4)^3)/Worksheet!$F$5*Worksheet!$F$5,0)))))))))</f>
        <v>110092</v>
      </c>
      <c r="I405" s="330"/>
      <c r="J405" s="329">
        <f ca="1">IF(Worksheet!$G$5=0,"",IF($C$4=$D$4,(IF(AND(Request!$U$4="Multi",Request!$T$4="FY"),ROUND(((1+Request!$O24)^(Worksheet!$B$20+3)*Worksheet!$G$9+(1+Request!$O24)^(Worksheet!$B$20+4)*Worksheet!$G$10)/Worksheet!$G$5*Request!$E24,0),(IF(AND(Request!$U$4="Multi",Request!$T$4="PY"),ROUND(Request!$E24*((1+Request!$O24)^4)/Worksheet!$G$5*Worksheet!$G$5,0),(IF(AND(Request!$U$4&lt;&gt;"Multi",Request!$T$4="FY"),ROUND(((1+Request!$U$4)^(Worksheet!$B$20+3)*Worksheet!$G$9+(1+Request!$U$4)^(Worksheet!$B$20+4)*Worksheet!$G$10)/Worksheet!$G$5*Request!$E24,0),ROUND(Request!$E24*((1+Request!$U$4)^4)/Worksheet!$G$5*Worksheet!$G$5,0))))))),(IF(AND(Request!$U$4="Multi",Request!$T$4="FY"),ROUND(((1+Request!$O24)^(Worksheet!$B$20+4)*Worksheet!$G$9+(1+Request!$O24)^(Worksheet!$B$20+5)*Worksheet!$G$10)/Worksheet!$G$5*Request!$E24,0),(IF(AND(Request!$U$4="Multi",Request!$T$4="PY"),ROUND(Request!$E24*((1+Request!$O24)^4)/Worksheet!$G$5*Worksheet!$G$5,0),(IF(AND(Request!$U$4&lt;&gt;"Multi",Request!$T$4="FY"),ROUND(((1+Request!$U$4)^(Worksheet!$B$20+4)*Worksheet!$G$9+(1+Request!$U$4)^(Worksheet!$B$20+5)*Worksheet!$G$10)/Worksheet!$G$5*Request!$E24,0),ROUND(Request!$E24*((1+Request!$U$4)^4)/Worksheet!$G$5*Worksheet!$G$5,0)))))))))</f>
        <v>113395</v>
      </c>
      <c r="K405" s="330"/>
      <c r="L405" s="307">
        <f ca="1">IF(Worksheet!$C$5=0,"",IF(AND(Request!$U$4="Multi",Request!$T$4="FY"),ROUND(((1+Request!$O24)^Worksheet!$B$20*Worksheet!$C$9+(1+Request!$O24)^(Worksheet!$B$20+1)*Worksheet!$C$10)/(Worksheet!$C$5)*Request!$G24,0),(IF(AND(Request!$U$4="Multi",Request!$T$4="PY"),ROUND(Request!$G24/(Worksheet!$C$5)*Worksheet!$C$5,0),(IF(AND(Request!$U$4&lt;&gt;"Multi",Request!$T$4="FY"),ROUND(((1+Request!$U$4)^Worksheet!$B$20*Worksheet!$C$9+(1+Request!$U$4)^(Worksheet!$B$20+1)*Worksheet!$C$10)/Worksheet!$C$5*Request!$G24,0),ROUND(Request!$G24/Worksheet!$C$5*Worksheet!$C$5,0)))))))</f>
        <v>100750</v>
      </c>
      <c r="M405" s="307"/>
      <c r="N405" s="307">
        <f ca="1">IF(Worksheet!$D$5=0,"",IF($C$4=$D$4,(IF(AND(Request!$U$4="Multi",Request!$T$4="FY"),ROUND(((1+Request!$O24)^(Worksheet!$B$20)*Worksheet!$D$9+(1+Request!$O24)^(Worksheet!$B$20+1)*Worksheet!$D$10)/Worksheet!$D$5*Request!$G24,0),(IF(AND(Request!$U$4="Multi",Request!$T$4="PY"),ROUND(Request!$G24*(1+Request!$O24)/Worksheet!$D$5*Worksheet!$D$5,0),(IF(AND(Request!$U$4&lt;&gt;"Multi",Request!$T$4="FY"),ROUND(((1+Request!$U$4)^(Worksheet!$B$20)*Worksheet!$D$9+(1+Request!$U$4)^(Worksheet!$B$20+1)*Worksheet!$D$10)/Worksheet!$D$5*Request!$G24,0),ROUND(Request!$G24*(1+Request!$U$4)/Worksheet!$D$5*Worksheet!$D$5,0))))))),(IF(AND(Request!$U$4="Multi",Request!$T$4="FY"),ROUND(((1+Request!$O24)^(Worksheet!$B$20+1)*Worksheet!$D$9+(1+Request!$O24)^(Worksheet!$B$20+2)*Worksheet!$D$10)/Worksheet!$D$5*Request!$G24,0),(IF(AND(Request!$U$4="Multi",Request!$T$4="PY"),ROUND(Request!$G24*(1+Request!$O24)/Worksheet!$D$5*Worksheet!$D$5,0),(IF(AND(Request!$U$4&lt;&gt;"Multi",Request!$T$4="FY"),ROUND(((1+Request!$U$4)^(Worksheet!$B$20+1)*Worksheet!$D$9+(1+Request!$U$4)^(Worksheet!$B$20+2)*Worksheet!$D$10)/Worksheet!$D$5*Request!$G24,0),ROUND(Request!$G24*(1+Request!$U$4)/Worksheet!$D$5*Worksheet!$D$5,0)))))))))</f>
        <v>103773</v>
      </c>
      <c r="O405" s="307"/>
      <c r="P405" s="307">
        <f ca="1">IF(Worksheet!$E$5=0,"",IF($C$4=$D$4,(IF(AND(Request!$U$4="Multi",Request!$T$4="FY"),ROUND(((1+Request!$O24)^(Worksheet!$B$20+1)*Worksheet!$E$9+(1+Request!$O24)^(Worksheet!$B$20+2)*Worksheet!$E$10)/Worksheet!$E$5*Request!$G24,0),(IF(AND(Request!$U$4="Multi",Request!$T$4="PY"),ROUND(Request!$G24*((1+Request!$O24)^2)/Worksheet!$E$5*Worksheet!$E$5,0),(IF(AND(Request!$U$4&lt;&gt;"Multi",Request!$T$4="FY"),ROUND(((1+Request!$U$4)^(Worksheet!$B$20+1)*Worksheet!$E$9+(1+Request!$U$4)^(Worksheet!$B$20+2)*Worksheet!$E$10)/Worksheet!$E$5*Request!$G24,0),ROUND(Request!$G24*((1+Request!$U$4)^2)/Worksheet!$E$5*Worksheet!$E$5,0))))))),(IF(AND(Request!$U$4="Multi",Request!$T$4="FY"),ROUND(((1+Request!$O24)^(Worksheet!$B$20+2)*Worksheet!$E$9+(1+Request!$O24)^(Worksheet!$B$20+3)*Worksheet!$E$10)/Worksheet!$E$5*Request!$G24,0),(IF(AND(Request!$U$4="Multi",Request!$T$4="PY"),ROUND(Request!$G24*((1+Request!$O24)^2)/Worksheet!$E$5*Worksheet!$E$5,0),(IF(AND(Request!$U$4&lt;&gt;"Multi",Request!$T$4="FY"),ROUND(((1+Request!$U$4)^(Worksheet!$B$20+2)*Worksheet!$E$9+(1+Request!$U$4)^(Worksheet!$B$20+3)*Worksheet!$E$10)/Worksheet!$E$5*Request!$G24,0),ROUND(Request!$G24*((1+Request!$U$4)^2)/Worksheet!$E$5*Worksheet!$E$5,0)))))))))</f>
        <v>106886</v>
      </c>
      <c r="Q405" s="307"/>
      <c r="R405" s="307">
        <f ca="1">IF(Worksheet!$F$5=0,"",IF($C$4=$D$4,(IF(AND(Request!$U$4="Multi",Request!$T$4="FY"),ROUND(((1+Request!$O24)^(Worksheet!$B$20+2)*Worksheet!$F$9+(1+Request!$O24)^(Worksheet!$B$20+3)*Worksheet!$F$10)/Worksheet!$F$5*Request!$G24,0),(IF(AND(Request!$U$4="Multi",Request!$T$4="PY"),ROUND(Request!$G24*((1+Request!$O24)^3)/Worksheet!$F$5*Worksheet!$F$5,0),(IF(AND(Request!$U$4&lt;&gt;"Multi",Request!$T$4="FY"),ROUND(((1+Request!$U$4)^(Worksheet!$B$20+2)*Worksheet!$F$9+(1+Request!$U$4)^(Worksheet!$B$20+3)*Worksheet!$F$10)/Worksheet!$F$5*Request!$G24,0),ROUND(Request!$G24*((1+Request!$U$4)^3)/Worksheet!$F$5*Worksheet!$F$5,0))))))),(IF(AND(Request!$U$4="Multi",Request!$T$4="FY"),ROUND(((1+Request!$O24)^(Worksheet!$B$20+3)*Worksheet!$F$9+(1+Request!$O24)^(Worksheet!$B$20+4)*Worksheet!$F$10)/Worksheet!$F$5*Request!$G24,0),(IF(AND(Request!$U$4="Multi",Request!$T$4="PY"),ROUND(Request!$G24*((1+Request!$O24)^3)/Worksheet!$F$5*Worksheet!$F$5,0),(IF(AND(Request!$U$4&lt;&gt;"Multi",Request!$T$4="FY"),ROUND(((1+Request!$U$4)^(Worksheet!$B$20+3)*Worksheet!$F$9+(1+Request!$U$4)^(Worksheet!$B$20+4)*Worksheet!$F$10)/Worksheet!$F$5*Request!$G24,0),ROUND(Request!$G24*((1+Request!$U$4)^3)/Worksheet!$F$5*Worksheet!$F$5,0)))))))))</f>
        <v>110092</v>
      </c>
      <c r="S405" s="307"/>
      <c r="T405" s="307">
        <f ca="1">IF(Worksheet!$G$5=0,"",IF($C$4=$D$4,(IF(AND(Request!$U$4="Multi",Request!$T$4="FY"),ROUND(((1+Request!$O24)^(Worksheet!$B$20+3)*Worksheet!$G$9+(1+Request!$O24)^(Worksheet!$B$20+4)*Worksheet!$G$10)/Worksheet!$G$5*Request!$G24,0),(IF(AND(Request!$U$4="Multi",Request!$T$4="PY"),ROUND(Request!$G24*((1+Request!$O24)^4)/Worksheet!$G$5*Worksheet!$G$5,0),(IF(AND(Request!$U$4&lt;&gt;"Multi",Request!$T$4="FY"),ROUND(((1+Request!$U$4)^(Worksheet!$B$20+3)*Worksheet!$G$9+(1+Request!$U$4)^(Worksheet!$B$20+4)*Worksheet!$G$10)/Worksheet!$G$5*Request!$G24,0),ROUND(Request!$G24*((1+Request!$U$4)^4)/Worksheet!$G$5*Worksheet!$G$5,0))))))),(IF(AND(Request!$U$4="Multi",Request!$T$4="FY"),ROUND(((1+Request!$O24)^(Worksheet!$B$20+4)*Worksheet!$G$9+(1+Request!$O24)^(Worksheet!$B$20+5)*Worksheet!$G$10)/Worksheet!$G$5*Request!$G24,0),(IF(AND(Request!$U$4="Multi",Request!$T$4="PY"),ROUND(Request!$G24*((1+Request!$O24)^4)/Worksheet!$G$5*Worksheet!$G$5,0),(IF(AND(Request!$U$4&lt;&gt;"Multi",Request!$T$4="FY"),ROUND(((1+Request!$U$4)^(Worksheet!$B$20+4)*Worksheet!$G$9+(1+Request!$U$4)^(Worksheet!$B$20+5)*Worksheet!$G$10)/Worksheet!$G$5*Request!$G24,0),ROUND(Request!$G24*((1+Request!$U$4)^4)/Worksheet!$G$5*Worksheet!$G$5,0)))))))))</f>
        <v>113395</v>
      </c>
      <c r="U405" s="307"/>
    </row>
    <row r="406" spans="1:21" x14ac:dyDescent="0.2">
      <c r="A406" s="71">
        <f>'Personnel Reference'!B21</f>
        <v>0</v>
      </c>
      <c r="B406" s="329">
        <f ca="1">IF(Worksheet!$C$5=0,"",IF(AND(Request!$U$4="Multi",Request!$T$4="FY"),ROUND(((1+Request!$O25)^Worksheet!$B$20*Worksheet!$C$9+(1+Request!$O25)^(Worksheet!$B$20+1)*Worksheet!$C$10)/(Worksheet!$C$5)*Request!$E25,0),(IF(AND(Request!$U$4="Multi",Request!$T$4="PY"),ROUND(Request!$E25/(Worksheet!$C$5)*Worksheet!$C$5,0),(IF(AND(Request!$U$4&lt;&gt;"Multi",Request!$T$4="FY"),ROUND(((1+Request!$U$4)^Worksheet!$B$20*Worksheet!$C$9+(1+Request!$U$4)^(Worksheet!$B$20+1)*Worksheet!$C$10)/Worksheet!$C$5*Request!$E25,0),ROUND(Request!$E25/Worksheet!$C$5*Worksheet!$C$5,0)))))))</f>
        <v>100750</v>
      </c>
      <c r="C406" s="330"/>
      <c r="D406" s="329">
        <f ca="1">IF(Worksheet!$D$5=0,"",IF($C$4=$D$4,(IF(AND(Request!$U$4="Multi",Request!$T$4="FY"),ROUND(((1+Request!$O25)^(Worksheet!$B$20)*Worksheet!$D$9+(1+Request!$O25)^(Worksheet!$B$20+1)*Worksheet!$D$10)/Worksheet!$D$5*Request!$E25,0),(IF(AND(Request!$U$4="Multi",Request!$T$4="PY"),ROUND(Request!$E25*(1+Request!$O25)/Worksheet!$D$5*Worksheet!$D$5,0),(IF(AND(Request!$U$4&lt;&gt;"Multi",Request!$T$4="FY"),ROUND(((1+Request!$U$4)^(Worksheet!$B$20)*Worksheet!$D$9+(1+Request!$U$4)^(Worksheet!$B$20+1)*Worksheet!$D$10)/Worksheet!$D$5*Request!$E25,0),ROUND(Request!$E25*(1+Request!$U$4)/Worksheet!$D$5*Worksheet!$D$5,0))))))),(IF(AND(Request!$U$4="Multi",Request!$T$4="FY"),ROUND(((1+Request!$O25)^(Worksheet!$B$20+1)*Worksheet!$D$9+(1+Request!$O25)^(Worksheet!$B$20+2)*Worksheet!$D$10)/Worksheet!$D$5*Request!$E25,0),(IF(AND(Request!$U$4="Multi",Request!$T$4="PY"),ROUND(Request!$E25*(1+Request!$O25)/Worksheet!$D$5*Worksheet!$D$5,0),(IF(AND(Request!$U$4&lt;&gt;"Multi",Request!$T$4="FY"),ROUND(((1+Request!$U$4)^(Worksheet!$B$20+1)*Worksheet!$D$9+(1+Request!$U$4)^(Worksheet!$B$20+2)*Worksheet!$D$10)/Worksheet!$D$5*Request!$E25,0),ROUND(Request!$E25*(1+Request!$U$4)/Worksheet!$D$5*Worksheet!$D$5,0)))))))))</f>
        <v>103773</v>
      </c>
      <c r="E406" s="330"/>
      <c r="F406" s="329">
        <f ca="1">IF(Worksheet!$E$5=0,"",IF($C$4=$D$4,(IF(AND(Request!$U$4="Multi",Request!$T$4="FY"),ROUND(((1+Request!$O25)^(Worksheet!$B$20+1)*Worksheet!$E$9+(1+Request!$O25)^(Worksheet!$B$20+3)*Worksheet!$E$10)/Worksheet!$E$5*Request!$E25,0),(IF(AND(Request!$U$4="Multi",Request!$T$4="PY"),ROUND(Request!$E25*((1+Request!$O25)^2)/Worksheet!$E$5*Worksheet!$E$5,0),(IF(AND(Request!$U$4&lt;&gt;"Multi",Request!$T$4="FY"),ROUND(((1+Request!$U$4)^(Worksheet!$B$20+1)*Worksheet!$E$9+(1+Request!$U$4)^(Worksheet!$B$20+2)*Worksheet!$E$10)/Worksheet!$E$5*Request!$E25,0),ROUND(Request!$E25*((1+Request!$U$4)^2)/Worksheet!$E$5*Worksheet!$E$5,0))))))),(IF(AND(Request!$U$4="Multi",Request!$T$4="FY"),ROUND(((1+Request!$O25)^(Worksheet!$B$20+2)*Worksheet!$E$9+(1+Request!$O25)^(Worksheet!$B$20+3)*Worksheet!$E$10)/Worksheet!$E$5*Request!$E25,0),(IF(AND(Request!$U$4="Multi",Request!$T$4="PY"),ROUND(Request!$E25*((1+Request!$O25)^2)/Worksheet!$E$5*Worksheet!$E$5,0),(IF(AND(Request!$U$4&lt;&gt;"Multi",Request!$T$4="FY"),ROUND(((1+Request!$U$4)^(Worksheet!$B$20+2)*Worksheet!$E$9+(1+Request!$U$4)^(Worksheet!$B$20+3)*Worksheet!$E$10)/Worksheet!$E$5*Request!$E25,0),ROUND(Request!$E25*((1+Request!$U$4)^2)/Worksheet!$E$5*Worksheet!$E$5,0)))))))))</f>
        <v>106886</v>
      </c>
      <c r="G406" s="330"/>
      <c r="H406" s="329">
        <f ca="1">IF(Worksheet!$F$5=0,"",IF($C$4=$D$4,(IF(AND(Request!$U$4="Multi",Request!$T$4="FY"),ROUND(((1+Request!$O25)^(Worksheet!$B$20+2)*Worksheet!$F$9+(1+Request!$O25)^(Worksheet!$B$20+3)*Worksheet!$F$10)/Worksheet!$F$5*Request!$E25,0),(IF(AND(Request!$U$4="Multi",Request!$T$4="PY"),ROUND(Request!$E25*((1+Request!$O25)^3)/Worksheet!$F$5*Worksheet!$F$5,0),(IF(AND(Request!$U$4&lt;&gt;"Multi",Request!$T$4="FY"),ROUND(((1+Request!$U$4)^(Worksheet!$B$20+2)*Worksheet!$F$9+(1+Request!$U$4)^(Worksheet!$B$20+3)*Worksheet!$F$10)/Worksheet!$F$5*Request!$E25,0),ROUND(Request!$E25*((1+Request!$U$4)^3)/Worksheet!$F$5*Worksheet!$F$5,0))))))),(IF(AND(Request!$U$4="Multi",Request!$T$4="FY"),ROUND(((1+Request!$O25)^(Worksheet!$B$20+3)*Worksheet!$F$9+(1+Request!$O25)^(Worksheet!$B$20+4)*Worksheet!$F$10)/Worksheet!$F$5*Request!$E25,0),(IF(AND(Request!$U$4="Multi",Request!$T$4="PY"),ROUND(Request!$E25*((1+Request!$O25)^3)/Worksheet!$F$5*Worksheet!$F$5,0),(IF(AND(Request!$U$4&lt;&gt;"Multi",Request!$T$4="FY"),ROUND(((1+Request!$U$4)^(Worksheet!$B$20+3)*Worksheet!$F$9+(1+Request!$U$4)^(Worksheet!$B$20+4)*Worksheet!$F$10)/Worksheet!$F$5*Request!$E25,0),ROUND(Request!$E25*((1+Request!$U$4)^3)/Worksheet!$F$5*Worksheet!$F$5,0)))))))))</f>
        <v>110092</v>
      </c>
      <c r="I406" s="330"/>
      <c r="J406" s="329">
        <f ca="1">IF(Worksheet!$G$5=0,"",IF($C$4=$D$4,(IF(AND(Request!$U$4="Multi",Request!$T$4="FY"),ROUND(((1+Request!$O25)^(Worksheet!$B$20+3)*Worksheet!$G$9+(1+Request!$O25)^(Worksheet!$B$20+4)*Worksheet!$G$10)/Worksheet!$G$5*Request!$E25,0),(IF(AND(Request!$U$4="Multi",Request!$T$4="PY"),ROUND(Request!$E25*((1+Request!$O25)^4)/Worksheet!$G$5*Worksheet!$G$5,0),(IF(AND(Request!$U$4&lt;&gt;"Multi",Request!$T$4="FY"),ROUND(((1+Request!$U$4)^(Worksheet!$B$20+3)*Worksheet!$G$9+(1+Request!$U$4)^(Worksheet!$B$20+4)*Worksheet!$G$10)/Worksheet!$G$5*Request!$E25,0),ROUND(Request!$E25*((1+Request!$U$4)^4)/Worksheet!$G$5*Worksheet!$G$5,0))))))),(IF(AND(Request!$U$4="Multi",Request!$T$4="FY"),ROUND(((1+Request!$O25)^(Worksheet!$B$20+4)*Worksheet!$G$9+(1+Request!$O25)^(Worksheet!$B$20+5)*Worksheet!$G$10)/Worksheet!$G$5*Request!$E25,0),(IF(AND(Request!$U$4="Multi",Request!$T$4="PY"),ROUND(Request!$E25*((1+Request!$O25)^4)/Worksheet!$G$5*Worksheet!$G$5,0),(IF(AND(Request!$U$4&lt;&gt;"Multi",Request!$T$4="FY"),ROUND(((1+Request!$U$4)^(Worksheet!$B$20+4)*Worksheet!$G$9+(1+Request!$U$4)^(Worksheet!$B$20+5)*Worksheet!$G$10)/Worksheet!$G$5*Request!$E25,0),ROUND(Request!$E25*((1+Request!$U$4)^4)/Worksheet!$G$5*Worksheet!$G$5,0)))))))))</f>
        <v>113395</v>
      </c>
      <c r="K406" s="330"/>
      <c r="L406" s="307">
        <f ca="1">IF(Worksheet!$C$5=0,"",IF(AND(Request!$U$4="Multi",Request!$T$4="FY"),ROUND(((1+Request!$O25)^Worksheet!$B$20*Worksheet!$C$9+(1+Request!$O25)^(Worksheet!$B$20+1)*Worksheet!$C$10)/(Worksheet!$C$5)*Request!$G25,0),(IF(AND(Request!$U$4="Multi",Request!$T$4="PY"),ROUND(Request!$G25/(Worksheet!$C$5)*Worksheet!$C$5,0),(IF(AND(Request!$U$4&lt;&gt;"Multi",Request!$T$4="FY"),ROUND(((1+Request!$U$4)^Worksheet!$B$20*Worksheet!$C$9+(1+Request!$U$4)^(Worksheet!$B$20+1)*Worksheet!$C$10)/Worksheet!$C$5*Request!$G25,0),ROUND(Request!$G25/Worksheet!$C$5*Worksheet!$C$5,0)))))))</f>
        <v>100750</v>
      </c>
      <c r="M406" s="307"/>
      <c r="N406" s="307">
        <f ca="1">IF(Worksheet!$D$5=0,"",IF($C$4=$D$4,(IF(AND(Request!$U$4="Multi",Request!$T$4="FY"),ROUND(((1+Request!$O25)^(Worksheet!$B$20)*Worksheet!$D$9+(1+Request!$O25)^(Worksheet!$B$20+1)*Worksheet!$D$10)/Worksheet!$D$5*Request!$G25,0),(IF(AND(Request!$U$4="Multi",Request!$T$4="PY"),ROUND(Request!$G25*(1+Request!$O25)/Worksheet!$D$5*Worksheet!$D$5,0),(IF(AND(Request!$U$4&lt;&gt;"Multi",Request!$T$4="FY"),ROUND(((1+Request!$U$4)^(Worksheet!$B$20)*Worksheet!$D$9+(1+Request!$U$4)^(Worksheet!$B$20+1)*Worksheet!$D$10)/Worksheet!$D$5*Request!$G25,0),ROUND(Request!$G25*(1+Request!$U$4)/Worksheet!$D$5*Worksheet!$D$5,0))))))),(IF(AND(Request!$U$4="Multi",Request!$T$4="FY"),ROUND(((1+Request!$O25)^(Worksheet!$B$20+1)*Worksheet!$D$9+(1+Request!$O25)^(Worksheet!$B$20+2)*Worksheet!$D$10)/Worksheet!$D$5*Request!$G25,0),(IF(AND(Request!$U$4="Multi",Request!$T$4="PY"),ROUND(Request!$G25*(1+Request!$O25)/Worksheet!$D$5*Worksheet!$D$5,0),(IF(AND(Request!$U$4&lt;&gt;"Multi",Request!$T$4="FY"),ROUND(((1+Request!$U$4)^(Worksheet!$B$20+1)*Worksheet!$D$9+(1+Request!$U$4)^(Worksheet!$B$20+2)*Worksheet!$D$10)/Worksheet!$D$5*Request!$G25,0),ROUND(Request!$G25*(1+Request!$U$4)/Worksheet!$D$5*Worksheet!$D$5,0)))))))))</f>
        <v>103773</v>
      </c>
      <c r="O406" s="307"/>
      <c r="P406" s="307">
        <f ca="1">IF(Worksheet!$E$5=0,"",IF($C$4=$D$4,(IF(AND(Request!$U$4="Multi",Request!$T$4="FY"),ROUND(((1+Request!$O25)^(Worksheet!$B$20+1)*Worksheet!$E$9+(1+Request!$O25)^(Worksheet!$B$20+2)*Worksheet!$E$10)/Worksheet!$E$5*Request!$G25,0),(IF(AND(Request!$U$4="Multi",Request!$T$4="PY"),ROUND(Request!$G25*((1+Request!$O25)^2)/Worksheet!$E$5*Worksheet!$E$5,0),(IF(AND(Request!$U$4&lt;&gt;"Multi",Request!$T$4="FY"),ROUND(((1+Request!$U$4)^(Worksheet!$B$20+1)*Worksheet!$E$9+(1+Request!$U$4)^(Worksheet!$B$20+2)*Worksheet!$E$10)/Worksheet!$E$5*Request!$G25,0),ROUND(Request!$G25*((1+Request!$U$4)^2)/Worksheet!$E$5*Worksheet!$E$5,0))))))),(IF(AND(Request!$U$4="Multi",Request!$T$4="FY"),ROUND(((1+Request!$O25)^(Worksheet!$B$20+2)*Worksheet!$E$9+(1+Request!$O25)^(Worksheet!$B$20+3)*Worksheet!$E$10)/Worksheet!$E$5*Request!$G25,0),(IF(AND(Request!$U$4="Multi",Request!$T$4="PY"),ROUND(Request!$G25*((1+Request!$O25)^2)/Worksheet!$E$5*Worksheet!$E$5,0),(IF(AND(Request!$U$4&lt;&gt;"Multi",Request!$T$4="FY"),ROUND(((1+Request!$U$4)^(Worksheet!$B$20+2)*Worksheet!$E$9+(1+Request!$U$4)^(Worksheet!$B$20+3)*Worksheet!$E$10)/Worksheet!$E$5*Request!$G25,0),ROUND(Request!$G25*((1+Request!$U$4)^2)/Worksheet!$E$5*Worksheet!$E$5,0)))))))))</f>
        <v>106886</v>
      </c>
      <c r="Q406" s="307"/>
      <c r="R406" s="307">
        <f ca="1">IF(Worksheet!$F$5=0,"",IF($C$4=$D$4,(IF(AND(Request!$U$4="Multi",Request!$T$4="FY"),ROUND(((1+Request!$O25)^(Worksheet!$B$20+2)*Worksheet!$F$9+(1+Request!$O25)^(Worksheet!$B$20+3)*Worksheet!$F$10)/Worksheet!$F$5*Request!$G25,0),(IF(AND(Request!$U$4="Multi",Request!$T$4="PY"),ROUND(Request!$G25*((1+Request!$O25)^3)/Worksheet!$F$5*Worksheet!$F$5,0),(IF(AND(Request!$U$4&lt;&gt;"Multi",Request!$T$4="FY"),ROUND(((1+Request!$U$4)^(Worksheet!$B$20+2)*Worksheet!$F$9+(1+Request!$U$4)^(Worksheet!$B$20+3)*Worksheet!$F$10)/Worksheet!$F$5*Request!$G25,0),ROUND(Request!$G25*((1+Request!$U$4)^3)/Worksheet!$F$5*Worksheet!$F$5,0))))))),(IF(AND(Request!$U$4="Multi",Request!$T$4="FY"),ROUND(((1+Request!$O25)^(Worksheet!$B$20+3)*Worksheet!$F$9+(1+Request!$O25)^(Worksheet!$B$20+4)*Worksheet!$F$10)/Worksheet!$F$5*Request!$G25,0),(IF(AND(Request!$U$4="Multi",Request!$T$4="PY"),ROUND(Request!$G25*((1+Request!$O25)^3)/Worksheet!$F$5*Worksheet!$F$5,0),(IF(AND(Request!$U$4&lt;&gt;"Multi",Request!$T$4="FY"),ROUND(((1+Request!$U$4)^(Worksheet!$B$20+3)*Worksheet!$F$9+(1+Request!$U$4)^(Worksheet!$B$20+4)*Worksheet!$F$10)/Worksheet!$F$5*Request!$G25,0),ROUND(Request!$G25*((1+Request!$U$4)^3)/Worksheet!$F$5*Worksheet!$F$5,0)))))))))</f>
        <v>110092</v>
      </c>
      <c r="S406" s="307"/>
      <c r="T406" s="307">
        <f ca="1">IF(Worksheet!$G$5=0,"",IF($C$4=$D$4,(IF(AND(Request!$U$4="Multi",Request!$T$4="FY"),ROUND(((1+Request!$O25)^(Worksheet!$B$20+3)*Worksheet!$G$9+(1+Request!$O25)^(Worksheet!$B$20+4)*Worksheet!$G$10)/Worksheet!$G$5*Request!$G25,0),(IF(AND(Request!$U$4="Multi",Request!$T$4="PY"),ROUND(Request!$G25*((1+Request!$O25)^4)/Worksheet!$G$5*Worksheet!$G$5,0),(IF(AND(Request!$U$4&lt;&gt;"Multi",Request!$T$4="FY"),ROUND(((1+Request!$U$4)^(Worksheet!$B$20+3)*Worksheet!$G$9+(1+Request!$U$4)^(Worksheet!$B$20+4)*Worksheet!$G$10)/Worksheet!$G$5*Request!$G25,0),ROUND(Request!$G25*((1+Request!$U$4)^4)/Worksheet!$G$5*Worksheet!$G$5,0))))))),(IF(AND(Request!$U$4="Multi",Request!$T$4="FY"),ROUND(((1+Request!$O25)^(Worksheet!$B$20+4)*Worksheet!$G$9+(1+Request!$O25)^(Worksheet!$B$20+5)*Worksheet!$G$10)/Worksheet!$G$5*Request!$G25,0),(IF(AND(Request!$U$4="Multi",Request!$T$4="PY"),ROUND(Request!$G25*((1+Request!$O25)^4)/Worksheet!$G$5*Worksheet!$G$5,0),(IF(AND(Request!$U$4&lt;&gt;"Multi",Request!$T$4="FY"),ROUND(((1+Request!$U$4)^(Worksheet!$B$20+4)*Worksheet!$G$9+(1+Request!$U$4)^(Worksheet!$B$20+5)*Worksheet!$G$10)/Worksheet!$G$5*Request!$G25,0),ROUND(Request!$G25*((1+Request!$U$4)^4)/Worksheet!$G$5*Worksheet!$G$5,0)))))))))</f>
        <v>113395</v>
      </c>
      <c r="U406" s="307"/>
    </row>
    <row r="407" spans="1:21" x14ac:dyDescent="0.2">
      <c r="A407" s="71">
        <f>'Personnel Reference'!B22</f>
        <v>0</v>
      </c>
      <c r="B407" s="329">
        <f ca="1">IF(Worksheet!$C$5=0,"",IF(AND(Request!$U$4="Multi",Request!$T$4="FY"),ROUND(((1+Request!$O26)^Worksheet!$B$20*Worksheet!$C$9+(1+Request!$O26)^(Worksheet!$B$20+1)*Worksheet!$C$10)/(Worksheet!$C$5)*Request!$E26,0),(IF(AND(Request!$U$4="Multi",Request!$T$4="PY"),ROUND(Request!$E26/(Worksheet!$C$5)*Worksheet!$C$5,0),(IF(AND(Request!$U$4&lt;&gt;"Multi",Request!$T$4="FY"),ROUND(((1+Request!$U$4)^Worksheet!$B$20*Worksheet!$C$9+(1+Request!$U$4)^(Worksheet!$B$20+1)*Worksheet!$C$10)/Worksheet!$C$5*Request!$E26,0),ROUND(Request!$E26/Worksheet!$C$5*Worksheet!$C$5,0)))))))</f>
        <v>100750</v>
      </c>
      <c r="C407" s="330"/>
      <c r="D407" s="329">
        <f ca="1">IF(Worksheet!$D$5=0,"",IF($C$4=$D$4,(IF(AND(Request!$U$4="Multi",Request!$T$4="FY"),ROUND(((1+Request!$O26)^(Worksheet!$B$20)*Worksheet!$D$9+(1+Request!$O26)^(Worksheet!$B$20+1)*Worksheet!$D$10)/Worksheet!$D$5*Request!$E26,0),(IF(AND(Request!$U$4="Multi",Request!$T$4="PY"),ROUND(Request!$E26*(1+Request!$O26)/Worksheet!$D$5*Worksheet!$D$5,0),(IF(AND(Request!$U$4&lt;&gt;"Multi",Request!$T$4="FY"),ROUND(((1+Request!$U$4)^(Worksheet!$B$20)*Worksheet!$D$9+(1+Request!$U$4)^(Worksheet!$B$20+1)*Worksheet!$D$10)/Worksheet!$D$5*Request!$E26,0),ROUND(Request!$E26*(1+Request!$U$4)/Worksheet!$D$5*Worksheet!$D$5,0))))))),(IF(AND(Request!$U$4="Multi",Request!$T$4="FY"),ROUND(((1+Request!$O26)^(Worksheet!$B$20+1)*Worksheet!$D$9+(1+Request!$O26)^(Worksheet!$B$20+2)*Worksheet!$D$10)/Worksheet!$D$5*Request!$E26,0),(IF(AND(Request!$U$4="Multi",Request!$T$4="PY"),ROUND(Request!$E26*(1+Request!$O26)/Worksheet!$D$5*Worksheet!$D$5,0),(IF(AND(Request!$U$4&lt;&gt;"Multi",Request!$T$4="FY"),ROUND(((1+Request!$U$4)^(Worksheet!$B$20+1)*Worksheet!$D$9+(1+Request!$U$4)^(Worksheet!$B$20+2)*Worksheet!$D$10)/Worksheet!$D$5*Request!$E26,0),ROUND(Request!$E26*(1+Request!$U$4)/Worksheet!$D$5*Worksheet!$D$5,0)))))))))</f>
        <v>103773</v>
      </c>
      <c r="E407" s="330"/>
      <c r="F407" s="329">
        <f ca="1">IF(Worksheet!$E$5=0,"",IF($C$4=$D$4,(IF(AND(Request!$U$4="Multi",Request!$T$4="FY"),ROUND(((1+Request!$O26)^(Worksheet!$B$20+1)*Worksheet!$E$9+(1+Request!$O26)^(Worksheet!$B$20+3)*Worksheet!$E$10)/Worksheet!$E$5*Request!$E26,0),(IF(AND(Request!$U$4="Multi",Request!$T$4="PY"),ROUND(Request!$E26*((1+Request!$O26)^2)/Worksheet!$E$5*Worksheet!$E$5,0),(IF(AND(Request!$U$4&lt;&gt;"Multi",Request!$T$4="FY"),ROUND(((1+Request!$U$4)^(Worksheet!$B$20+1)*Worksheet!$E$9+(1+Request!$U$4)^(Worksheet!$B$20+2)*Worksheet!$E$10)/Worksheet!$E$5*Request!$E26,0),ROUND(Request!$E26*((1+Request!$U$4)^2)/Worksheet!$E$5*Worksheet!$E$5,0))))))),(IF(AND(Request!$U$4="Multi",Request!$T$4="FY"),ROUND(((1+Request!$O26)^(Worksheet!$B$20+2)*Worksheet!$E$9+(1+Request!$O26)^(Worksheet!$B$20+3)*Worksheet!$E$10)/Worksheet!$E$5*Request!$E26,0),(IF(AND(Request!$U$4="Multi",Request!$T$4="PY"),ROUND(Request!$E26*((1+Request!$O26)^2)/Worksheet!$E$5*Worksheet!$E$5,0),(IF(AND(Request!$U$4&lt;&gt;"Multi",Request!$T$4="FY"),ROUND(((1+Request!$U$4)^(Worksheet!$B$20+2)*Worksheet!$E$9+(1+Request!$U$4)^(Worksheet!$B$20+3)*Worksheet!$E$10)/Worksheet!$E$5*Request!$E26,0),ROUND(Request!$E26*((1+Request!$U$4)^2)/Worksheet!$E$5*Worksheet!$E$5,0)))))))))</f>
        <v>106886</v>
      </c>
      <c r="G407" s="330"/>
      <c r="H407" s="329">
        <f ca="1">IF(Worksheet!$F$5=0,"",IF($C$4=$D$4,(IF(AND(Request!$U$4="Multi",Request!$T$4="FY"),ROUND(((1+Request!$O26)^(Worksheet!$B$20+2)*Worksheet!$F$9+(1+Request!$O26)^(Worksheet!$B$20+3)*Worksheet!$F$10)/Worksheet!$F$5*Request!$E26,0),(IF(AND(Request!$U$4="Multi",Request!$T$4="PY"),ROUND(Request!$E26*((1+Request!$O26)^3)/Worksheet!$F$5*Worksheet!$F$5,0),(IF(AND(Request!$U$4&lt;&gt;"Multi",Request!$T$4="FY"),ROUND(((1+Request!$U$4)^(Worksheet!$B$20+2)*Worksheet!$F$9+(1+Request!$U$4)^(Worksheet!$B$20+3)*Worksheet!$F$10)/Worksheet!$F$5*Request!$E26,0),ROUND(Request!$E26*((1+Request!$U$4)^3)/Worksheet!$F$5*Worksheet!$F$5,0))))))),(IF(AND(Request!$U$4="Multi",Request!$T$4="FY"),ROUND(((1+Request!$O26)^(Worksheet!$B$20+3)*Worksheet!$F$9+(1+Request!$O26)^(Worksheet!$B$20+4)*Worksheet!$F$10)/Worksheet!$F$5*Request!$E26,0),(IF(AND(Request!$U$4="Multi",Request!$T$4="PY"),ROUND(Request!$E26*((1+Request!$O26)^3)/Worksheet!$F$5*Worksheet!$F$5,0),(IF(AND(Request!$U$4&lt;&gt;"Multi",Request!$T$4="FY"),ROUND(((1+Request!$U$4)^(Worksheet!$B$20+3)*Worksheet!$F$9+(1+Request!$U$4)^(Worksheet!$B$20+4)*Worksheet!$F$10)/Worksheet!$F$5*Request!$E26,0),ROUND(Request!$E26*((1+Request!$U$4)^3)/Worksheet!$F$5*Worksheet!$F$5,0)))))))))</f>
        <v>110092</v>
      </c>
      <c r="I407" s="330"/>
      <c r="J407" s="329">
        <f ca="1">IF(Worksheet!$G$5=0,"",IF($C$4=$D$4,(IF(AND(Request!$U$4="Multi",Request!$T$4="FY"),ROUND(((1+Request!$O26)^(Worksheet!$B$20+3)*Worksheet!$G$9+(1+Request!$O26)^(Worksheet!$B$20+4)*Worksheet!$G$10)/Worksheet!$G$5*Request!$E26,0),(IF(AND(Request!$U$4="Multi",Request!$T$4="PY"),ROUND(Request!$E26*((1+Request!$O26)^4)/Worksheet!$G$5*Worksheet!$G$5,0),(IF(AND(Request!$U$4&lt;&gt;"Multi",Request!$T$4="FY"),ROUND(((1+Request!$U$4)^(Worksheet!$B$20+3)*Worksheet!$G$9+(1+Request!$U$4)^(Worksheet!$B$20+4)*Worksheet!$G$10)/Worksheet!$G$5*Request!$E26,0),ROUND(Request!$E26*((1+Request!$U$4)^4)/Worksheet!$G$5*Worksheet!$G$5,0))))))),(IF(AND(Request!$U$4="Multi",Request!$T$4="FY"),ROUND(((1+Request!$O26)^(Worksheet!$B$20+4)*Worksheet!$G$9+(1+Request!$O26)^(Worksheet!$B$20+5)*Worksheet!$G$10)/Worksheet!$G$5*Request!$E26,0),(IF(AND(Request!$U$4="Multi",Request!$T$4="PY"),ROUND(Request!$E26*((1+Request!$O26)^4)/Worksheet!$G$5*Worksheet!$G$5,0),(IF(AND(Request!$U$4&lt;&gt;"Multi",Request!$T$4="FY"),ROUND(((1+Request!$U$4)^(Worksheet!$B$20+4)*Worksheet!$G$9+(1+Request!$U$4)^(Worksheet!$B$20+5)*Worksheet!$G$10)/Worksheet!$G$5*Request!$E26,0),ROUND(Request!$E26*((1+Request!$U$4)^4)/Worksheet!$G$5*Worksheet!$G$5,0)))))))))</f>
        <v>113395</v>
      </c>
      <c r="K407" s="330"/>
      <c r="L407" s="307">
        <f ca="1">IF(Worksheet!$C$5=0,"",IF(AND(Request!$U$4="Multi",Request!$T$4="FY"),ROUND(((1+Request!$O26)^Worksheet!$B$20*Worksheet!$C$9+(1+Request!$O26)^(Worksheet!$B$20+1)*Worksheet!$C$10)/(Worksheet!$C$5)*Request!$G26,0),(IF(AND(Request!$U$4="Multi",Request!$T$4="PY"),ROUND(Request!$G26/(Worksheet!$C$5)*Worksheet!$C$5,0),(IF(AND(Request!$U$4&lt;&gt;"Multi",Request!$T$4="FY"),ROUND(((1+Request!$U$4)^Worksheet!$B$20*Worksheet!$C$9+(1+Request!$U$4)^(Worksheet!$B$20+1)*Worksheet!$C$10)/Worksheet!$C$5*Request!$G26,0),ROUND(Request!$G26/Worksheet!$C$5*Worksheet!$C$5,0)))))))</f>
        <v>100750</v>
      </c>
      <c r="M407" s="307"/>
      <c r="N407" s="307">
        <f ca="1">IF(Worksheet!$D$5=0,"",IF($C$4=$D$4,(IF(AND(Request!$U$4="Multi",Request!$T$4="FY"),ROUND(((1+Request!$O26)^(Worksheet!$B$20)*Worksheet!$D$9+(1+Request!$O26)^(Worksheet!$B$20+1)*Worksheet!$D$10)/Worksheet!$D$5*Request!$G26,0),(IF(AND(Request!$U$4="Multi",Request!$T$4="PY"),ROUND(Request!$G26*(1+Request!$O26)/Worksheet!$D$5*Worksheet!$D$5,0),(IF(AND(Request!$U$4&lt;&gt;"Multi",Request!$T$4="FY"),ROUND(((1+Request!$U$4)^(Worksheet!$B$20)*Worksheet!$D$9+(1+Request!$U$4)^(Worksheet!$B$20+1)*Worksheet!$D$10)/Worksheet!$D$5*Request!$G26,0),ROUND(Request!$G26*(1+Request!$U$4)/Worksheet!$D$5*Worksheet!$D$5,0))))))),(IF(AND(Request!$U$4="Multi",Request!$T$4="FY"),ROUND(((1+Request!$O26)^(Worksheet!$B$20+1)*Worksheet!$D$9+(1+Request!$O26)^(Worksheet!$B$20+2)*Worksheet!$D$10)/Worksheet!$D$5*Request!$G26,0),(IF(AND(Request!$U$4="Multi",Request!$T$4="PY"),ROUND(Request!$G26*(1+Request!$O26)/Worksheet!$D$5*Worksheet!$D$5,0),(IF(AND(Request!$U$4&lt;&gt;"Multi",Request!$T$4="FY"),ROUND(((1+Request!$U$4)^(Worksheet!$B$20+1)*Worksheet!$D$9+(1+Request!$U$4)^(Worksheet!$B$20+2)*Worksheet!$D$10)/Worksheet!$D$5*Request!$G26,0),ROUND(Request!$G26*(1+Request!$U$4)/Worksheet!$D$5*Worksheet!$D$5,0)))))))))</f>
        <v>103773</v>
      </c>
      <c r="O407" s="307"/>
      <c r="P407" s="307">
        <f ca="1">IF(Worksheet!$E$5=0,"",IF($C$4=$D$4,(IF(AND(Request!$U$4="Multi",Request!$T$4="FY"),ROUND(((1+Request!$O26)^(Worksheet!$B$20+1)*Worksheet!$E$9+(1+Request!$O26)^(Worksheet!$B$20+2)*Worksheet!$E$10)/Worksheet!$E$5*Request!$G26,0),(IF(AND(Request!$U$4="Multi",Request!$T$4="PY"),ROUND(Request!$G26*((1+Request!$O26)^2)/Worksheet!$E$5*Worksheet!$E$5,0),(IF(AND(Request!$U$4&lt;&gt;"Multi",Request!$T$4="FY"),ROUND(((1+Request!$U$4)^(Worksheet!$B$20+1)*Worksheet!$E$9+(1+Request!$U$4)^(Worksheet!$B$20+2)*Worksheet!$E$10)/Worksheet!$E$5*Request!$G26,0),ROUND(Request!$G26*((1+Request!$U$4)^2)/Worksheet!$E$5*Worksheet!$E$5,0))))))),(IF(AND(Request!$U$4="Multi",Request!$T$4="FY"),ROUND(((1+Request!$O26)^(Worksheet!$B$20+2)*Worksheet!$E$9+(1+Request!$O26)^(Worksheet!$B$20+3)*Worksheet!$E$10)/Worksheet!$E$5*Request!$G26,0),(IF(AND(Request!$U$4="Multi",Request!$T$4="PY"),ROUND(Request!$G26*((1+Request!$O26)^2)/Worksheet!$E$5*Worksheet!$E$5,0),(IF(AND(Request!$U$4&lt;&gt;"Multi",Request!$T$4="FY"),ROUND(((1+Request!$U$4)^(Worksheet!$B$20+2)*Worksheet!$E$9+(1+Request!$U$4)^(Worksheet!$B$20+3)*Worksheet!$E$10)/Worksheet!$E$5*Request!$G26,0),ROUND(Request!$G26*((1+Request!$U$4)^2)/Worksheet!$E$5*Worksheet!$E$5,0)))))))))</f>
        <v>106886</v>
      </c>
      <c r="Q407" s="307"/>
      <c r="R407" s="307">
        <f ca="1">IF(Worksheet!$F$5=0,"",IF($C$4=$D$4,(IF(AND(Request!$U$4="Multi",Request!$T$4="FY"),ROUND(((1+Request!$O26)^(Worksheet!$B$20+2)*Worksheet!$F$9+(1+Request!$O26)^(Worksheet!$B$20+3)*Worksheet!$F$10)/Worksheet!$F$5*Request!$G26,0),(IF(AND(Request!$U$4="Multi",Request!$T$4="PY"),ROUND(Request!$G26*((1+Request!$O26)^3)/Worksheet!$F$5*Worksheet!$F$5,0),(IF(AND(Request!$U$4&lt;&gt;"Multi",Request!$T$4="FY"),ROUND(((1+Request!$U$4)^(Worksheet!$B$20+2)*Worksheet!$F$9+(1+Request!$U$4)^(Worksheet!$B$20+3)*Worksheet!$F$10)/Worksheet!$F$5*Request!$G26,0),ROUND(Request!$G26*((1+Request!$U$4)^3)/Worksheet!$F$5*Worksheet!$F$5,0))))))),(IF(AND(Request!$U$4="Multi",Request!$T$4="FY"),ROUND(((1+Request!$O26)^(Worksheet!$B$20+3)*Worksheet!$F$9+(1+Request!$O26)^(Worksheet!$B$20+4)*Worksheet!$F$10)/Worksheet!$F$5*Request!$G26,0),(IF(AND(Request!$U$4="Multi",Request!$T$4="PY"),ROUND(Request!$G26*((1+Request!$O26)^3)/Worksheet!$F$5*Worksheet!$F$5,0),(IF(AND(Request!$U$4&lt;&gt;"Multi",Request!$T$4="FY"),ROUND(((1+Request!$U$4)^(Worksheet!$B$20+3)*Worksheet!$F$9+(1+Request!$U$4)^(Worksheet!$B$20+4)*Worksheet!$F$10)/Worksheet!$F$5*Request!$G26,0),ROUND(Request!$G26*((1+Request!$U$4)^3)/Worksheet!$F$5*Worksheet!$F$5,0)))))))))</f>
        <v>110092</v>
      </c>
      <c r="S407" s="307"/>
      <c r="T407" s="307">
        <f ca="1">IF(Worksheet!$G$5=0,"",IF($C$4=$D$4,(IF(AND(Request!$U$4="Multi",Request!$T$4="FY"),ROUND(((1+Request!$O26)^(Worksheet!$B$20+3)*Worksheet!$G$9+(1+Request!$O26)^(Worksheet!$B$20+4)*Worksheet!$G$10)/Worksheet!$G$5*Request!$G26,0),(IF(AND(Request!$U$4="Multi",Request!$T$4="PY"),ROUND(Request!$G26*((1+Request!$O26)^4)/Worksheet!$G$5*Worksheet!$G$5,0),(IF(AND(Request!$U$4&lt;&gt;"Multi",Request!$T$4="FY"),ROUND(((1+Request!$U$4)^(Worksheet!$B$20+3)*Worksheet!$G$9+(1+Request!$U$4)^(Worksheet!$B$20+4)*Worksheet!$G$10)/Worksheet!$G$5*Request!$G26,0),ROUND(Request!$G26*((1+Request!$U$4)^4)/Worksheet!$G$5*Worksheet!$G$5,0))))))),(IF(AND(Request!$U$4="Multi",Request!$T$4="FY"),ROUND(((1+Request!$O26)^(Worksheet!$B$20+4)*Worksheet!$G$9+(1+Request!$O26)^(Worksheet!$B$20+5)*Worksheet!$G$10)/Worksheet!$G$5*Request!$G26,0),(IF(AND(Request!$U$4="Multi",Request!$T$4="PY"),ROUND(Request!$G26*((1+Request!$O26)^4)/Worksheet!$G$5*Worksheet!$G$5,0),(IF(AND(Request!$U$4&lt;&gt;"Multi",Request!$T$4="FY"),ROUND(((1+Request!$U$4)^(Worksheet!$B$20+4)*Worksheet!$G$9+(1+Request!$U$4)^(Worksheet!$B$20+5)*Worksheet!$G$10)/Worksheet!$G$5*Request!$G26,0),ROUND(Request!$G26*((1+Request!$U$4)^4)/Worksheet!$G$5*Worksheet!$G$5,0)))))))))</f>
        <v>113395</v>
      </c>
      <c r="U407" s="307"/>
    </row>
    <row r="408" spans="1:21" x14ac:dyDescent="0.2">
      <c r="A408" s="71">
        <f>'Personnel Reference'!B23</f>
        <v>0</v>
      </c>
      <c r="B408" s="329">
        <f ca="1">IF(Worksheet!$C$5=0,"",IF(AND(Request!$U$4="Multi",Request!$T$4="FY"),ROUND(((1+Request!$O27)^Worksheet!$B$20*Worksheet!$C$9+(1+Request!$O27)^(Worksheet!$B$20+1)*Worksheet!$C$10)/(Worksheet!$C$5)*Request!$E27,0),(IF(AND(Request!$U$4="Multi",Request!$T$4="PY"),ROUND(Request!$E27/(Worksheet!$C$5)*Worksheet!$C$5,0),(IF(AND(Request!$U$4&lt;&gt;"Multi",Request!$T$4="FY"),ROUND(((1+Request!$U$4)^Worksheet!$B$20*Worksheet!$C$9+(1+Request!$U$4)^(Worksheet!$B$20+1)*Worksheet!$C$10)/Worksheet!$C$5*Request!$E27,0),ROUND(Request!$E27/Worksheet!$C$5*Worksheet!$C$5,0)))))))</f>
        <v>100750</v>
      </c>
      <c r="C408" s="330"/>
      <c r="D408" s="329">
        <f ca="1">IF(Worksheet!$D$5=0,"",IF($C$4=$D$4,(IF(AND(Request!$U$4="Multi",Request!$T$4="FY"),ROUND(((1+Request!$O27)^(Worksheet!$B$20)*Worksheet!$D$9+(1+Request!$O27)^(Worksheet!$B$20+1)*Worksheet!$D$10)/Worksheet!$D$5*Request!$E27,0),(IF(AND(Request!$U$4="Multi",Request!$T$4="PY"),ROUND(Request!$E27*(1+Request!$O27)/Worksheet!$D$5*Worksheet!$D$5,0),(IF(AND(Request!$U$4&lt;&gt;"Multi",Request!$T$4="FY"),ROUND(((1+Request!$U$4)^(Worksheet!$B$20)*Worksheet!$D$9+(1+Request!$U$4)^(Worksheet!$B$20+1)*Worksheet!$D$10)/Worksheet!$D$5*Request!$E27,0),ROUND(Request!$E27*(1+Request!$U$4)/Worksheet!$D$5*Worksheet!$D$5,0))))))),(IF(AND(Request!$U$4="Multi",Request!$T$4="FY"),ROUND(((1+Request!$O27)^(Worksheet!$B$20+1)*Worksheet!$D$9+(1+Request!$O27)^(Worksheet!$B$20+2)*Worksheet!$D$10)/Worksheet!$D$5*Request!$E27,0),(IF(AND(Request!$U$4="Multi",Request!$T$4="PY"),ROUND(Request!$E27*(1+Request!$O27)/Worksheet!$D$5*Worksheet!$D$5,0),(IF(AND(Request!$U$4&lt;&gt;"Multi",Request!$T$4="FY"),ROUND(((1+Request!$U$4)^(Worksheet!$B$20+1)*Worksheet!$D$9+(1+Request!$U$4)^(Worksheet!$B$20+2)*Worksheet!$D$10)/Worksheet!$D$5*Request!$E27,0),ROUND(Request!$E27*(1+Request!$U$4)/Worksheet!$D$5*Worksheet!$D$5,0)))))))))</f>
        <v>103773</v>
      </c>
      <c r="E408" s="330"/>
      <c r="F408" s="329">
        <f ca="1">IF(Worksheet!$E$5=0,"",IF($C$4=$D$4,(IF(AND(Request!$U$4="Multi",Request!$T$4="FY"),ROUND(((1+Request!$O27)^(Worksheet!$B$20+1)*Worksheet!$E$9+(1+Request!$O27)^(Worksheet!$B$20+3)*Worksheet!$E$10)/Worksheet!$E$5*Request!$E27,0),(IF(AND(Request!$U$4="Multi",Request!$T$4="PY"),ROUND(Request!$E27*((1+Request!$O27)^2)/Worksheet!$E$5*Worksheet!$E$5,0),(IF(AND(Request!$U$4&lt;&gt;"Multi",Request!$T$4="FY"),ROUND(((1+Request!$U$4)^(Worksheet!$B$20+1)*Worksheet!$E$9+(1+Request!$U$4)^(Worksheet!$B$20+2)*Worksheet!$E$10)/Worksheet!$E$5*Request!$E27,0),ROUND(Request!$E27*((1+Request!$U$4)^2)/Worksheet!$E$5*Worksheet!$E$5,0))))))),(IF(AND(Request!$U$4="Multi",Request!$T$4="FY"),ROUND(((1+Request!$O27)^(Worksheet!$B$20+2)*Worksheet!$E$9+(1+Request!$O27)^(Worksheet!$B$20+3)*Worksheet!$E$10)/Worksheet!$E$5*Request!$E27,0),(IF(AND(Request!$U$4="Multi",Request!$T$4="PY"),ROUND(Request!$E27*((1+Request!$O27)^2)/Worksheet!$E$5*Worksheet!$E$5,0),(IF(AND(Request!$U$4&lt;&gt;"Multi",Request!$T$4="FY"),ROUND(((1+Request!$U$4)^(Worksheet!$B$20+2)*Worksheet!$E$9+(1+Request!$U$4)^(Worksheet!$B$20+3)*Worksheet!$E$10)/Worksheet!$E$5*Request!$E27,0),ROUND(Request!$E27*((1+Request!$U$4)^2)/Worksheet!$E$5*Worksheet!$E$5,0)))))))))</f>
        <v>106886</v>
      </c>
      <c r="G408" s="330"/>
      <c r="H408" s="329">
        <f ca="1">IF(Worksheet!$F$5=0,"",IF($C$4=$D$4,(IF(AND(Request!$U$4="Multi",Request!$T$4="FY"),ROUND(((1+Request!$O27)^(Worksheet!$B$20+2)*Worksheet!$F$9+(1+Request!$O27)^(Worksheet!$B$20+3)*Worksheet!$F$10)/Worksheet!$F$5*Request!$E27,0),(IF(AND(Request!$U$4="Multi",Request!$T$4="PY"),ROUND(Request!$E27*((1+Request!$O27)^3)/Worksheet!$F$5*Worksheet!$F$5,0),(IF(AND(Request!$U$4&lt;&gt;"Multi",Request!$T$4="FY"),ROUND(((1+Request!$U$4)^(Worksheet!$B$20+2)*Worksheet!$F$9+(1+Request!$U$4)^(Worksheet!$B$20+3)*Worksheet!$F$10)/Worksheet!$F$5*Request!$E27,0),ROUND(Request!$E27*((1+Request!$U$4)^3)/Worksheet!$F$5*Worksheet!$F$5,0))))))),(IF(AND(Request!$U$4="Multi",Request!$T$4="FY"),ROUND(((1+Request!$O27)^(Worksheet!$B$20+3)*Worksheet!$F$9+(1+Request!$O27)^(Worksheet!$B$20+4)*Worksheet!$F$10)/Worksheet!$F$5*Request!$E27,0),(IF(AND(Request!$U$4="Multi",Request!$T$4="PY"),ROUND(Request!$E27*((1+Request!$O27)^3)/Worksheet!$F$5*Worksheet!$F$5,0),(IF(AND(Request!$U$4&lt;&gt;"Multi",Request!$T$4="FY"),ROUND(((1+Request!$U$4)^(Worksheet!$B$20+3)*Worksheet!$F$9+(1+Request!$U$4)^(Worksheet!$B$20+4)*Worksheet!$F$10)/Worksheet!$F$5*Request!$E27,0),ROUND(Request!$E27*((1+Request!$U$4)^3)/Worksheet!$F$5*Worksheet!$F$5,0)))))))))</f>
        <v>110092</v>
      </c>
      <c r="I408" s="330"/>
      <c r="J408" s="329">
        <f ca="1">IF(Worksheet!$G$5=0,"",IF($C$4=$D$4,(IF(AND(Request!$U$4="Multi",Request!$T$4="FY"),ROUND(((1+Request!$O27)^(Worksheet!$B$20+3)*Worksheet!$G$9+(1+Request!$O27)^(Worksheet!$B$20+4)*Worksheet!$G$10)/Worksheet!$G$5*Request!$E27,0),(IF(AND(Request!$U$4="Multi",Request!$T$4="PY"),ROUND(Request!$E27*((1+Request!$O27)^4)/Worksheet!$G$5*Worksheet!$G$5,0),(IF(AND(Request!$U$4&lt;&gt;"Multi",Request!$T$4="FY"),ROUND(((1+Request!$U$4)^(Worksheet!$B$20+3)*Worksheet!$G$9+(1+Request!$U$4)^(Worksheet!$B$20+4)*Worksheet!$G$10)/Worksheet!$G$5*Request!$E27,0),ROUND(Request!$E27*((1+Request!$U$4)^4)/Worksheet!$G$5*Worksheet!$G$5,0))))))),(IF(AND(Request!$U$4="Multi",Request!$T$4="FY"),ROUND(((1+Request!$O27)^(Worksheet!$B$20+4)*Worksheet!$G$9+(1+Request!$O27)^(Worksheet!$B$20+5)*Worksheet!$G$10)/Worksheet!$G$5*Request!$E27,0),(IF(AND(Request!$U$4="Multi",Request!$T$4="PY"),ROUND(Request!$E27*((1+Request!$O27)^4)/Worksheet!$G$5*Worksheet!$G$5,0),(IF(AND(Request!$U$4&lt;&gt;"Multi",Request!$T$4="FY"),ROUND(((1+Request!$U$4)^(Worksheet!$B$20+4)*Worksheet!$G$9+(1+Request!$U$4)^(Worksheet!$B$20+5)*Worksheet!$G$10)/Worksheet!$G$5*Request!$E27,0),ROUND(Request!$E27*((1+Request!$U$4)^4)/Worksheet!$G$5*Worksheet!$G$5,0)))))))))</f>
        <v>113395</v>
      </c>
      <c r="K408" s="330"/>
      <c r="L408" s="307">
        <f ca="1">IF(Worksheet!$C$5=0,"",IF(AND(Request!$U$4="Multi",Request!$T$4="FY"),ROUND(((1+Request!$O27)^Worksheet!$B$20*Worksheet!$C$9+(1+Request!$O27)^(Worksheet!$B$20+1)*Worksheet!$C$10)/(Worksheet!$C$5)*Request!$G27,0),(IF(AND(Request!$U$4="Multi",Request!$T$4="PY"),ROUND(Request!$G27/(Worksheet!$C$5)*Worksheet!$C$5,0),(IF(AND(Request!$U$4&lt;&gt;"Multi",Request!$T$4="FY"),ROUND(((1+Request!$U$4)^Worksheet!$B$20*Worksheet!$C$9+(1+Request!$U$4)^(Worksheet!$B$20+1)*Worksheet!$C$10)/Worksheet!$C$5*Request!$G27,0),ROUND(Request!$G27/Worksheet!$C$5*Worksheet!$C$5,0)))))))</f>
        <v>100750</v>
      </c>
      <c r="M408" s="307"/>
      <c r="N408" s="307">
        <f ca="1">IF(Worksheet!$D$5=0,"",IF($C$4=$D$4,(IF(AND(Request!$U$4="Multi",Request!$T$4="FY"),ROUND(((1+Request!$O27)^(Worksheet!$B$20)*Worksheet!$D$9+(1+Request!$O27)^(Worksheet!$B$20+1)*Worksheet!$D$10)/Worksheet!$D$5*Request!$G27,0),(IF(AND(Request!$U$4="Multi",Request!$T$4="PY"),ROUND(Request!$G27*(1+Request!$O27)/Worksheet!$D$5*Worksheet!$D$5,0),(IF(AND(Request!$U$4&lt;&gt;"Multi",Request!$T$4="FY"),ROUND(((1+Request!$U$4)^(Worksheet!$B$20)*Worksheet!$D$9+(1+Request!$U$4)^(Worksheet!$B$20+1)*Worksheet!$D$10)/Worksheet!$D$5*Request!$G27,0),ROUND(Request!$G27*(1+Request!$U$4)/Worksheet!$D$5*Worksheet!$D$5,0))))))),(IF(AND(Request!$U$4="Multi",Request!$T$4="FY"),ROUND(((1+Request!$O27)^(Worksheet!$B$20+1)*Worksheet!$D$9+(1+Request!$O27)^(Worksheet!$B$20+2)*Worksheet!$D$10)/Worksheet!$D$5*Request!$G27,0),(IF(AND(Request!$U$4="Multi",Request!$T$4="PY"),ROUND(Request!$G27*(1+Request!$O27)/Worksheet!$D$5*Worksheet!$D$5,0),(IF(AND(Request!$U$4&lt;&gt;"Multi",Request!$T$4="FY"),ROUND(((1+Request!$U$4)^(Worksheet!$B$20+1)*Worksheet!$D$9+(1+Request!$U$4)^(Worksheet!$B$20+2)*Worksheet!$D$10)/Worksheet!$D$5*Request!$G27,0),ROUND(Request!$G27*(1+Request!$U$4)/Worksheet!$D$5*Worksheet!$D$5,0)))))))))</f>
        <v>103773</v>
      </c>
      <c r="O408" s="307"/>
      <c r="P408" s="307">
        <f ca="1">IF(Worksheet!$E$5=0,"",IF($C$4=$D$4,(IF(AND(Request!$U$4="Multi",Request!$T$4="FY"),ROUND(((1+Request!$O27)^(Worksheet!$B$20+1)*Worksheet!$E$9+(1+Request!$O27)^(Worksheet!$B$20+2)*Worksheet!$E$10)/Worksheet!$E$5*Request!$G27,0),(IF(AND(Request!$U$4="Multi",Request!$T$4="PY"),ROUND(Request!$G27*((1+Request!$O27)^2)/Worksheet!$E$5*Worksheet!$E$5,0),(IF(AND(Request!$U$4&lt;&gt;"Multi",Request!$T$4="FY"),ROUND(((1+Request!$U$4)^(Worksheet!$B$20+1)*Worksheet!$E$9+(1+Request!$U$4)^(Worksheet!$B$20+2)*Worksheet!$E$10)/Worksheet!$E$5*Request!$G27,0),ROUND(Request!$G27*((1+Request!$U$4)^2)/Worksheet!$E$5*Worksheet!$E$5,0))))))),(IF(AND(Request!$U$4="Multi",Request!$T$4="FY"),ROUND(((1+Request!$O27)^(Worksheet!$B$20+2)*Worksheet!$E$9+(1+Request!$O27)^(Worksheet!$B$20+3)*Worksheet!$E$10)/Worksheet!$E$5*Request!$G27,0),(IF(AND(Request!$U$4="Multi",Request!$T$4="PY"),ROUND(Request!$G27*((1+Request!$O27)^2)/Worksheet!$E$5*Worksheet!$E$5,0),(IF(AND(Request!$U$4&lt;&gt;"Multi",Request!$T$4="FY"),ROUND(((1+Request!$U$4)^(Worksheet!$B$20+2)*Worksheet!$E$9+(1+Request!$U$4)^(Worksheet!$B$20+3)*Worksheet!$E$10)/Worksheet!$E$5*Request!$G27,0),ROUND(Request!$G27*((1+Request!$U$4)^2)/Worksheet!$E$5*Worksheet!$E$5,0)))))))))</f>
        <v>106886</v>
      </c>
      <c r="Q408" s="307"/>
      <c r="R408" s="307">
        <f ca="1">IF(Worksheet!$F$5=0,"",IF($C$4=$D$4,(IF(AND(Request!$U$4="Multi",Request!$T$4="FY"),ROUND(((1+Request!$O27)^(Worksheet!$B$20+2)*Worksheet!$F$9+(1+Request!$O27)^(Worksheet!$B$20+3)*Worksheet!$F$10)/Worksheet!$F$5*Request!$G27,0),(IF(AND(Request!$U$4="Multi",Request!$T$4="PY"),ROUND(Request!$G27*((1+Request!$O27)^3)/Worksheet!$F$5*Worksheet!$F$5,0),(IF(AND(Request!$U$4&lt;&gt;"Multi",Request!$T$4="FY"),ROUND(((1+Request!$U$4)^(Worksheet!$B$20+2)*Worksheet!$F$9+(1+Request!$U$4)^(Worksheet!$B$20+3)*Worksheet!$F$10)/Worksheet!$F$5*Request!$G27,0),ROUND(Request!$G27*((1+Request!$U$4)^3)/Worksheet!$F$5*Worksheet!$F$5,0))))))),(IF(AND(Request!$U$4="Multi",Request!$T$4="FY"),ROUND(((1+Request!$O27)^(Worksheet!$B$20+3)*Worksheet!$F$9+(1+Request!$O27)^(Worksheet!$B$20+4)*Worksheet!$F$10)/Worksheet!$F$5*Request!$G27,0),(IF(AND(Request!$U$4="Multi",Request!$T$4="PY"),ROUND(Request!$G27*((1+Request!$O27)^3)/Worksheet!$F$5*Worksheet!$F$5,0),(IF(AND(Request!$U$4&lt;&gt;"Multi",Request!$T$4="FY"),ROUND(((1+Request!$U$4)^(Worksheet!$B$20+3)*Worksheet!$F$9+(1+Request!$U$4)^(Worksheet!$B$20+4)*Worksheet!$F$10)/Worksheet!$F$5*Request!$G27,0),ROUND(Request!$G27*((1+Request!$U$4)^3)/Worksheet!$F$5*Worksheet!$F$5,0)))))))))</f>
        <v>110092</v>
      </c>
      <c r="S408" s="307"/>
      <c r="T408" s="307">
        <f ca="1">IF(Worksheet!$G$5=0,"",IF($C$4=$D$4,(IF(AND(Request!$U$4="Multi",Request!$T$4="FY"),ROUND(((1+Request!$O27)^(Worksheet!$B$20+3)*Worksheet!$G$9+(1+Request!$O27)^(Worksheet!$B$20+4)*Worksheet!$G$10)/Worksheet!$G$5*Request!$G27,0),(IF(AND(Request!$U$4="Multi",Request!$T$4="PY"),ROUND(Request!$G27*((1+Request!$O27)^4)/Worksheet!$G$5*Worksheet!$G$5,0),(IF(AND(Request!$U$4&lt;&gt;"Multi",Request!$T$4="FY"),ROUND(((1+Request!$U$4)^(Worksheet!$B$20+3)*Worksheet!$G$9+(1+Request!$U$4)^(Worksheet!$B$20+4)*Worksheet!$G$10)/Worksheet!$G$5*Request!$G27,0),ROUND(Request!$G27*((1+Request!$U$4)^4)/Worksheet!$G$5*Worksheet!$G$5,0))))))),(IF(AND(Request!$U$4="Multi",Request!$T$4="FY"),ROUND(((1+Request!$O27)^(Worksheet!$B$20+4)*Worksheet!$G$9+(1+Request!$O27)^(Worksheet!$B$20+5)*Worksheet!$G$10)/Worksheet!$G$5*Request!$G27,0),(IF(AND(Request!$U$4="Multi",Request!$T$4="PY"),ROUND(Request!$G27*((1+Request!$O27)^4)/Worksheet!$G$5*Worksheet!$G$5,0),(IF(AND(Request!$U$4&lt;&gt;"Multi",Request!$T$4="FY"),ROUND(((1+Request!$U$4)^(Worksheet!$B$20+4)*Worksheet!$G$9+(1+Request!$U$4)^(Worksheet!$B$20+5)*Worksheet!$G$10)/Worksheet!$G$5*Request!$G27,0),ROUND(Request!$G27*((1+Request!$U$4)^4)/Worksheet!$G$5*Worksheet!$G$5,0)))))))))</f>
        <v>113395</v>
      </c>
      <c r="U408" s="307"/>
    </row>
    <row r="409" spans="1:21" x14ac:dyDescent="0.2">
      <c r="A409" s="71">
        <f>'Personnel Reference'!B24</f>
        <v>0</v>
      </c>
      <c r="B409" s="329">
        <f ca="1">IF(Worksheet!$C$5=0,"",IF(AND(Request!$U$4="Multi",Request!$T$4="FY"),ROUND(((1+Request!$O28)^Worksheet!$B$20*Worksheet!$C$9+(1+Request!$O28)^(Worksheet!$B$20+1)*Worksheet!$C$10)/(Worksheet!$C$5)*Request!$E28,0),(IF(AND(Request!$U$4="Multi",Request!$T$4="PY"),ROUND(Request!$E28/(Worksheet!$C$5)*Worksheet!$C$5,0),(IF(AND(Request!$U$4&lt;&gt;"Multi",Request!$T$4="FY"),ROUND(((1+Request!$U$4)^Worksheet!$B$20*Worksheet!$C$9+(1+Request!$U$4)^(Worksheet!$B$20+1)*Worksheet!$C$10)/Worksheet!$C$5*Request!$E28,0),ROUND(Request!$E28/Worksheet!$C$5*Worksheet!$C$5,0)))))))</f>
        <v>100750</v>
      </c>
      <c r="C409" s="330"/>
      <c r="D409" s="329">
        <f ca="1">IF(Worksheet!$D$5=0,"",IF($C$4=$D$4,(IF(AND(Request!$U$4="Multi",Request!$T$4="FY"),ROUND(((1+Request!$O28)^(Worksheet!$B$20)*Worksheet!$D$9+(1+Request!$O28)^(Worksheet!$B$20+1)*Worksheet!$D$10)/Worksheet!$D$5*Request!$E28,0),(IF(AND(Request!$U$4="Multi",Request!$T$4="PY"),ROUND(Request!$E28*(1+Request!$O28)/Worksheet!$D$5*Worksheet!$D$5,0),(IF(AND(Request!$U$4&lt;&gt;"Multi",Request!$T$4="FY"),ROUND(((1+Request!$U$4)^(Worksheet!$B$20)*Worksheet!$D$9+(1+Request!$U$4)^(Worksheet!$B$20+1)*Worksheet!$D$10)/Worksheet!$D$5*Request!$E28,0),ROUND(Request!$E28*(1+Request!$U$4)/Worksheet!$D$5*Worksheet!$D$5,0))))))),(IF(AND(Request!$U$4="Multi",Request!$T$4="FY"),ROUND(((1+Request!$O28)^(Worksheet!$B$20+1)*Worksheet!$D$9+(1+Request!$O28)^(Worksheet!$B$20+2)*Worksheet!$D$10)/Worksheet!$D$5*Request!$E28,0),(IF(AND(Request!$U$4="Multi",Request!$T$4="PY"),ROUND(Request!$E28*(1+Request!$O28)/Worksheet!$D$5*Worksheet!$D$5,0),(IF(AND(Request!$U$4&lt;&gt;"Multi",Request!$T$4="FY"),ROUND(((1+Request!$U$4)^(Worksheet!$B$20+1)*Worksheet!$D$9+(1+Request!$U$4)^(Worksheet!$B$20+2)*Worksheet!$D$10)/Worksheet!$D$5*Request!$E28,0),ROUND(Request!$E28*(1+Request!$U$4)/Worksheet!$D$5*Worksheet!$D$5,0)))))))))</f>
        <v>103773</v>
      </c>
      <c r="E409" s="330"/>
      <c r="F409" s="329">
        <f ca="1">IF(Worksheet!$E$5=0,"",IF($C$4=$D$4,(IF(AND(Request!$U$4="Multi",Request!$T$4="FY"),ROUND(((1+Request!$O28)^(Worksheet!$B$20+1)*Worksheet!$E$9+(1+Request!$O28)^(Worksheet!$B$20+3)*Worksheet!$E$10)/Worksheet!$E$5*Request!$E28,0),(IF(AND(Request!$U$4="Multi",Request!$T$4="PY"),ROUND(Request!$E28*((1+Request!$O28)^2)/Worksheet!$E$5*Worksheet!$E$5,0),(IF(AND(Request!$U$4&lt;&gt;"Multi",Request!$T$4="FY"),ROUND(((1+Request!$U$4)^(Worksheet!$B$20+1)*Worksheet!$E$9+(1+Request!$U$4)^(Worksheet!$B$20+2)*Worksheet!$E$10)/Worksheet!$E$5*Request!$E28,0),ROUND(Request!$E28*((1+Request!$U$4)^2)/Worksheet!$E$5*Worksheet!$E$5,0))))))),(IF(AND(Request!$U$4="Multi",Request!$T$4="FY"),ROUND(((1+Request!$O28)^(Worksheet!$B$20+2)*Worksheet!$E$9+(1+Request!$O28)^(Worksheet!$B$20+3)*Worksheet!$E$10)/Worksheet!$E$5*Request!$E28,0),(IF(AND(Request!$U$4="Multi",Request!$T$4="PY"),ROUND(Request!$E28*((1+Request!$O28)^2)/Worksheet!$E$5*Worksheet!$E$5,0),(IF(AND(Request!$U$4&lt;&gt;"Multi",Request!$T$4="FY"),ROUND(((1+Request!$U$4)^(Worksheet!$B$20+2)*Worksheet!$E$9+(1+Request!$U$4)^(Worksheet!$B$20+3)*Worksheet!$E$10)/Worksheet!$E$5*Request!$E28,0),ROUND(Request!$E28*((1+Request!$U$4)^2)/Worksheet!$E$5*Worksheet!$E$5,0)))))))))</f>
        <v>106886</v>
      </c>
      <c r="G409" s="330"/>
      <c r="H409" s="329">
        <f ca="1">IF(Worksheet!$F$5=0,"",IF($C$4=$D$4,(IF(AND(Request!$U$4="Multi",Request!$T$4="FY"),ROUND(((1+Request!$O28)^(Worksheet!$B$20+2)*Worksheet!$F$9+(1+Request!$O28)^(Worksheet!$B$20+3)*Worksheet!$F$10)/Worksheet!$F$5*Request!$E28,0),(IF(AND(Request!$U$4="Multi",Request!$T$4="PY"),ROUND(Request!$E28*((1+Request!$O28)^3)/Worksheet!$F$5*Worksheet!$F$5,0),(IF(AND(Request!$U$4&lt;&gt;"Multi",Request!$T$4="FY"),ROUND(((1+Request!$U$4)^(Worksheet!$B$20+2)*Worksheet!$F$9+(1+Request!$U$4)^(Worksheet!$B$20+3)*Worksheet!$F$10)/Worksheet!$F$5*Request!$E28,0),ROUND(Request!$E28*((1+Request!$U$4)^3)/Worksheet!$F$5*Worksheet!$F$5,0))))))),(IF(AND(Request!$U$4="Multi",Request!$T$4="FY"),ROUND(((1+Request!$O28)^(Worksheet!$B$20+3)*Worksheet!$F$9+(1+Request!$O28)^(Worksheet!$B$20+4)*Worksheet!$F$10)/Worksheet!$F$5*Request!$E28,0),(IF(AND(Request!$U$4="Multi",Request!$T$4="PY"),ROUND(Request!$E28*((1+Request!$O28)^3)/Worksheet!$F$5*Worksheet!$F$5,0),(IF(AND(Request!$U$4&lt;&gt;"Multi",Request!$T$4="FY"),ROUND(((1+Request!$U$4)^(Worksheet!$B$20+3)*Worksheet!$F$9+(1+Request!$U$4)^(Worksheet!$B$20+4)*Worksheet!$F$10)/Worksheet!$F$5*Request!$E28,0),ROUND(Request!$E28*((1+Request!$U$4)^3)/Worksheet!$F$5*Worksheet!$F$5,0)))))))))</f>
        <v>110092</v>
      </c>
      <c r="I409" s="330"/>
      <c r="J409" s="329">
        <f ca="1">IF(Worksheet!$G$5=0,"",IF($C$4=$D$4,(IF(AND(Request!$U$4="Multi",Request!$T$4="FY"),ROUND(((1+Request!$O28)^(Worksheet!$B$20+3)*Worksheet!$G$9+(1+Request!$O28)^(Worksheet!$B$20+4)*Worksheet!$G$10)/Worksheet!$G$5*Request!$E28,0),(IF(AND(Request!$U$4="Multi",Request!$T$4="PY"),ROUND(Request!$E28*((1+Request!$O28)^4)/Worksheet!$G$5*Worksheet!$G$5,0),(IF(AND(Request!$U$4&lt;&gt;"Multi",Request!$T$4="FY"),ROUND(((1+Request!$U$4)^(Worksheet!$B$20+3)*Worksheet!$G$9+(1+Request!$U$4)^(Worksheet!$B$20+4)*Worksheet!$G$10)/Worksheet!$G$5*Request!$E28,0),ROUND(Request!$E28*((1+Request!$U$4)^4)/Worksheet!$G$5*Worksheet!$G$5,0))))))),(IF(AND(Request!$U$4="Multi",Request!$T$4="FY"),ROUND(((1+Request!$O28)^(Worksheet!$B$20+4)*Worksheet!$G$9+(1+Request!$O28)^(Worksheet!$B$20+5)*Worksheet!$G$10)/Worksheet!$G$5*Request!$E28,0),(IF(AND(Request!$U$4="Multi",Request!$T$4="PY"),ROUND(Request!$E28*((1+Request!$O28)^4)/Worksheet!$G$5*Worksheet!$G$5,0),(IF(AND(Request!$U$4&lt;&gt;"Multi",Request!$T$4="FY"),ROUND(((1+Request!$U$4)^(Worksheet!$B$20+4)*Worksheet!$G$9+(1+Request!$U$4)^(Worksheet!$B$20+5)*Worksheet!$G$10)/Worksheet!$G$5*Request!$E28,0),ROUND(Request!$E28*((1+Request!$U$4)^4)/Worksheet!$G$5*Worksheet!$G$5,0)))))))))</f>
        <v>113395</v>
      </c>
      <c r="K409" s="330"/>
      <c r="L409" s="307">
        <f ca="1">IF(Worksheet!$C$5=0,"",IF(AND(Request!$U$4="Multi",Request!$T$4="FY"),ROUND(((1+Request!$O28)^Worksheet!$B$20*Worksheet!$C$9+(1+Request!$O28)^(Worksheet!$B$20+1)*Worksheet!$C$10)/(Worksheet!$C$5)*Request!$G28,0),(IF(AND(Request!$U$4="Multi",Request!$T$4="PY"),ROUND(Request!$G28/(Worksheet!$C$5)*Worksheet!$C$5,0),(IF(AND(Request!$U$4&lt;&gt;"Multi",Request!$T$4="FY"),ROUND(((1+Request!$U$4)^Worksheet!$B$20*Worksheet!$C$9+(1+Request!$U$4)^(Worksheet!$B$20+1)*Worksheet!$C$10)/Worksheet!$C$5*Request!$G28,0),ROUND(Request!$G28/Worksheet!$C$5*Worksheet!$C$5,0)))))))</f>
        <v>100750</v>
      </c>
      <c r="M409" s="307"/>
      <c r="N409" s="307">
        <f ca="1">IF(Worksheet!$D$5=0,"",IF($C$4=$D$4,(IF(AND(Request!$U$4="Multi",Request!$T$4="FY"),ROUND(((1+Request!$O28)^(Worksheet!$B$20)*Worksheet!$D$9+(1+Request!$O28)^(Worksheet!$B$20+1)*Worksheet!$D$10)/Worksheet!$D$5*Request!$G28,0),(IF(AND(Request!$U$4="Multi",Request!$T$4="PY"),ROUND(Request!$G28*(1+Request!$O28)/Worksheet!$D$5*Worksheet!$D$5,0),(IF(AND(Request!$U$4&lt;&gt;"Multi",Request!$T$4="FY"),ROUND(((1+Request!$U$4)^(Worksheet!$B$20)*Worksheet!$D$9+(1+Request!$U$4)^(Worksheet!$B$20+1)*Worksheet!$D$10)/Worksheet!$D$5*Request!$G28,0),ROUND(Request!$G28*(1+Request!$U$4)/Worksheet!$D$5*Worksheet!$D$5,0))))))),(IF(AND(Request!$U$4="Multi",Request!$T$4="FY"),ROUND(((1+Request!$O28)^(Worksheet!$B$20+1)*Worksheet!$D$9+(1+Request!$O28)^(Worksheet!$B$20+2)*Worksheet!$D$10)/Worksheet!$D$5*Request!$G28,0),(IF(AND(Request!$U$4="Multi",Request!$T$4="PY"),ROUND(Request!$G28*(1+Request!$O28)/Worksheet!$D$5*Worksheet!$D$5,0),(IF(AND(Request!$U$4&lt;&gt;"Multi",Request!$T$4="FY"),ROUND(((1+Request!$U$4)^(Worksheet!$B$20+1)*Worksheet!$D$9+(1+Request!$U$4)^(Worksheet!$B$20+2)*Worksheet!$D$10)/Worksheet!$D$5*Request!$G28,0),ROUND(Request!$G28*(1+Request!$U$4)/Worksheet!$D$5*Worksheet!$D$5,0)))))))))</f>
        <v>103773</v>
      </c>
      <c r="O409" s="307"/>
      <c r="P409" s="307">
        <f ca="1">IF(Worksheet!$E$5=0,"",IF($C$4=$D$4,(IF(AND(Request!$U$4="Multi",Request!$T$4="FY"),ROUND(((1+Request!$O28)^(Worksheet!$B$20+1)*Worksheet!$E$9+(1+Request!$O28)^(Worksheet!$B$20+2)*Worksheet!$E$10)/Worksheet!$E$5*Request!$G28,0),(IF(AND(Request!$U$4="Multi",Request!$T$4="PY"),ROUND(Request!$G28*((1+Request!$O28)^2)/Worksheet!$E$5*Worksheet!$E$5,0),(IF(AND(Request!$U$4&lt;&gt;"Multi",Request!$T$4="FY"),ROUND(((1+Request!$U$4)^(Worksheet!$B$20+1)*Worksheet!$E$9+(1+Request!$U$4)^(Worksheet!$B$20+2)*Worksheet!$E$10)/Worksheet!$E$5*Request!$G28,0),ROUND(Request!$G28*((1+Request!$U$4)^2)/Worksheet!$E$5*Worksheet!$E$5,0))))))),(IF(AND(Request!$U$4="Multi",Request!$T$4="FY"),ROUND(((1+Request!$O28)^(Worksheet!$B$20+2)*Worksheet!$E$9+(1+Request!$O28)^(Worksheet!$B$20+3)*Worksheet!$E$10)/Worksheet!$E$5*Request!$G28,0),(IF(AND(Request!$U$4="Multi",Request!$T$4="PY"),ROUND(Request!$G28*((1+Request!$O28)^2)/Worksheet!$E$5*Worksheet!$E$5,0),(IF(AND(Request!$U$4&lt;&gt;"Multi",Request!$T$4="FY"),ROUND(((1+Request!$U$4)^(Worksheet!$B$20+2)*Worksheet!$E$9+(1+Request!$U$4)^(Worksheet!$B$20+3)*Worksheet!$E$10)/Worksheet!$E$5*Request!$G28,0),ROUND(Request!$G28*((1+Request!$U$4)^2)/Worksheet!$E$5*Worksheet!$E$5,0)))))))))</f>
        <v>106886</v>
      </c>
      <c r="Q409" s="307"/>
      <c r="R409" s="307">
        <f ca="1">IF(Worksheet!$F$5=0,"",IF($C$4=$D$4,(IF(AND(Request!$U$4="Multi",Request!$T$4="FY"),ROUND(((1+Request!$O28)^(Worksheet!$B$20+2)*Worksheet!$F$9+(1+Request!$O28)^(Worksheet!$B$20+3)*Worksheet!$F$10)/Worksheet!$F$5*Request!$G28,0),(IF(AND(Request!$U$4="Multi",Request!$T$4="PY"),ROUND(Request!$G28*((1+Request!$O28)^3)/Worksheet!$F$5*Worksheet!$F$5,0),(IF(AND(Request!$U$4&lt;&gt;"Multi",Request!$T$4="FY"),ROUND(((1+Request!$U$4)^(Worksheet!$B$20+2)*Worksheet!$F$9+(1+Request!$U$4)^(Worksheet!$B$20+3)*Worksheet!$F$10)/Worksheet!$F$5*Request!$G28,0),ROUND(Request!$G28*((1+Request!$U$4)^3)/Worksheet!$F$5*Worksheet!$F$5,0))))))),(IF(AND(Request!$U$4="Multi",Request!$T$4="FY"),ROUND(((1+Request!$O28)^(Worksheet!$B$20+3)*Worksheet!$F$9+(1+Request!$O28)^(Worksheet!$B$20+4)*Worksheet!$F$10)/Worksheet!$F$5*Request!$G28,0),(IF(AND(Request!$U$4="Multi",Request!$T$4="PY"),ROUND(Request!$G28*((1+Request!$O28)^3)/Worksheet!$F$5*Worksheet!$F$5,0),(IF(AND(Request!$U$4&lt;&gt;"Multi",Request!$T$4="FY"),ROUND(((1+Request!$U$4)^(Worksheet!$B$20+3)*Worksheet!$F$9+(1+Request!$U$4)^(Worksheet!$B$20+4)*Worksheet!$F$10)/Worksheet!$F$5*Request!$G28,0),ROUND(Request!$G28*((1+Request!$U$4)^3)/Worksheet!$F$5*Worksheet!$F$5,0)))))))))</f>
        <v>110092</v>
      </c>
      <c r="S409" s="307"/>
      <c r="T409" s="307">
        <f ca="1">IF(Worksheet!$G$5=0,"",IF($C$4=$D$4,(IF(AND(Request!$U$4="Multi",Request!$T$4="FY"),ROUND(((1+Request!$O28)^(Worksheet!$B$20+3)*Worksheet!$G$9+(1+Request!$O28)^(Worksheet!$B$20+4)*Worksheet!$G$10)/Worksheet!$G$5*Request!$G28,0),(IF(AND(Request!$U$4="Multi",Request!$T$4="PY"),ROUND(Request!$G28*((1+Request!$O28)^4)/Worksheet!$G$5*Worksheet!$G$5,0),(IF(AND(Request!$U$4&lt;&gt;"Multi",Request!$T$4="FY"),ROUND(((1+Request!$U$4)^(Worksheet!$B$20+3)*Worksheet!$G$9+(1+Request!$U$4)^(Worksheet!$B$20+4)*Worksheet!$G$10)/Worksheet!$G$5*Request!$G28,0),ROUND(Request!$G28*((1+Request!$U$4)^4)/Worksheet!$G$5*Worksheet!$G$5,0))))))),(IF(AND(Request!$U$4="Multi",Request!$T$4="FY"),ROUND(((1+Request!$O28)^(Worksheet!$B$20+4)*Worksheet!$G$9+(1+Request!$O28)^(Worksheet!$B$20+5)*Worksheet!$G$10)/Worksheet!$G$5*Request!$G28,0),(IF(AND(Request!$U$4="Multi",Request!$T$4="PY"),ROUND(Request!$G28*((1+Request!$O28)^4)/Worksheet!$G$5*Worksheet!$G$5,0),(IF(AND(Request!$U$4&lt;&gt;"Multi",Request!$T$4="FY"),ROUND(((1+Request!$U$4)^(Worksheet!$B$20+4)*Worksheet!$G$9+(1+Request!$U$4)^(Worksheet!$B$20+5)*Worksheet!$G$10)/Worksheet!$G$5*Request!$G28,0),ROUND(Request!$G28*((1+Request!$U$4)^4)/Worksheet!$G$5*Worksheet!$G$5,0)))))))))</f>
        <v>113395</v>
      </c>
      <c r="U409" s="307"/>
    </row>
    <row r="410" spans="1:21" x14ac:dyDescent="0.2">
      <c r="A410" s="71">
        <f>'Personnel Reference'!B25</f>
        <v>0</v>
      </c>
      <c r="B410" s="329">
        <f ca="1">IF(Worksheet!$C$5=0,"",IF(AND(Request!$U$4="Multi",Request!$T$4="FY"),ROUND(((1+Request!$O29)^Worksheet!$B$20*Worksheet!$C$9+(1+Request!$O29)^(Worksheet!$B$20+1)*Worksheet!$C$10)/(Worksheet!$C$5)*Request!$E29,0),(IF(AND(Request!$U$4="Multi",Request!$T$4="PY"),ROUND(Request!$E29/(Worksheet!$C$5)*Worksheet!$C$5,0),(IF(AND(Request!$U$4&lt;&gt;"Multi",Request!$T$4="FY"),ROUND(((1+Request!$U$4)^Worksheet!$B$20*Worksheet!$C$9+(1+Request!$U$4)^(Worksheet!$B$20+1)*Worksheet!$C$10)/Worksheet!$C$5*Request!$E29,0),ROUND(Request!$E29/Worksheet!$C$5*Worksheet!$C$5,0)))))))</f>
        <v>100750</v>
      </c>
      <c r="C410" s="330"/>
      <c r="D410" s="329">
        <f ca="1">IF(Worksheet!$D$5=0,"",IF($C$4=$D$4,(IF(AND(Request!$U$4="Multi",Request!$T$4="FY"),ROUND(((1+Request!$O29)^(Worksheet!$B$20)*Worksheet!$D$9+(1+Request!$O29)^(Worksheet!$B$20+1)*Worksheet!$D$10)/Worksheet!$D$5*Request!$E29,0),(IF(AND(Request!$U$4="Multi",Request!$T$4="PY"),ROUND(Request!$E29*(1+Request!$O29)/Worksheet!$D$5*Worksheet!$D$5,0),(IF(AND(Request!$U$4&lt;&gt;"Multi",Request!$T$4="FY"),ROUND(((1+Request!$U$4)^(Worksheet!$B$20)*Worksheet!$D$9+(1+Request!$U$4)^(Worksheet!$B$20+1)*Worksheet!$D$10)/Worksheet!$D$5*Request!$E29,0),ROUND(Request!$E29*(1+Request!$U$4)/Worksheet!$D$5*Worksheet!$D$5,0))))))),(IF(AND(Request!$U$4="Multi",Request!$T$4="FY"),ROUND(((1+Request!$O29)^(Worksheet!$B$20+1)*Worksheet!$D$9+(1+Request!$O29)^(Worksheet!$B$20+2)*Worksheet!$D$10)/Worksheet!$D$5*Request!$E29,0),(IF(AND(Request!$U$4="Multi",Request!$T$4="PY"),ROUND(Request!$E29*(1+Request!$O29)/Worksheet!$D$5*Worksheet!$D$5,0),(IF(AND(Request!$U$4&lt;&gt;"Multi",Request!$T$4="FY"),ROUND(((1+Request!$U$4)^(Worksheet!$B$20+1)*Worksheet!$D$9+(1+Request!$U$4)^(Worksheet!$B$20+2)*Worksheet!$D$10)/Worksheet!$D$5*Request!$E29,0),ROUND(Request!$E29*(1+Request!$U$4)/Worksheet!$D$5*Worksheet!$D$5,0)))))))))</f>
        <v>103773</v>
      </c>
      <c r="E410" s="330"/>
      <c r="F410" s="329">
        <f ca="1">IF(Worksheet!$E$5=0,"",IF($C$4=$D$4,(IF(AND(Request!$U$4="Multi",Request!$T$4="FY"),ROUND(((1+Request!$O29)^(Worksheet!$B$20+1)*Worksheet!$E$9+(1+Request!$O29)^(Worksheet!$B$20+3)*Worksheet!$E$10)/Worksheet!$E$5*Request!$E29,0),(IF(AND(Request!$U$4="Multi",Request!$T$4="PY"),ROUND(Request!$E29*((1+Request!$O29)^2)/Worksheet!$E$5*Worksheet!$E$5,0),(IF(AND(Request!$U$4&lt;&gt;"Multi",Request!$T$4="FY"),ROUND(((1+Request!$U$4)^(Worksheet!$B$20+1)*Worksheet!$E$9+(1+Request!$U$4)^(Worksheet!$B$20+2)*Worksheet!$E$10)/Worksheet!$E$5*Request!$E29,0),ROUND(Request!$E29*((1+Request!$U$4)^2)/Worksheet!$E$5*Worksheet!$E$5,0))))))),(IF(AND(Request!$U$4="Multi",Request!$T$4="FY"),ROUND(((1+Request!$O29)^(Worksheet!$B$20+2)*Worksheet!$E$9+(1+Request!$O29)^(Worksheet!$B$20+3)*Worksheet!$E$10)/Worksheet!$E$5*Request!$E29,0),(IF(AND(Request!$U$4="Multi",Request!$T$4="PY"),ROUND(Request!$E29*((1+Request!$O29)^2)/Worksheet!$E$5*Worksheet!$E$5,0),(IF(AND(Request!$U$4&lt;&gt;"Multi",Request!$T$4="FY"),ROUND(((1+Request!$U$4)^(Worksheet!$B$20+2)*Worksheet!$E$9+(1+Request!$U$4)^(Worksheet!$B$20+3)*Worksheet!$E$10)/Worksheet!$E$5*Request!$E29,0),ROUND(Request!$E29*((1+Request!$U$4)^2)/Worksheet!$E$5*Worksheet!$E$5,0)))))))))</f>
        <v>106886</v>
      </c>
      <c r="G410" s="330"/>
      <c r="H410" s="329">
        <f ca="1">IF(Worksheet!$F$5=0,"",IF($C$4=$D$4,(IF(AND(Request!$U$4="Multi",Request!$T$4="FY"),ROUND(((1+Request!$O29)^(Worksheet!$B$20+2)*Worksheet!$F$9+(1+Request!$O29)^(Worksheet!$B$20+3)*Worksheet!$F$10)/Worksheet!$F$5*Request!$E29,0),(IF(AND(Request!$U$4="Multi",Request!$T$4="PY"),ROUND(Request!$E29*((1+Request!$O29)^3)/Worksheet!$F$5*Worksheet!$F$5,0),(IF(AND(Request!$U$4&lt;&gt;"Multi",Request!$T$4="FY"),ROUND(((1+Request!$U$4)^(Worksheet!$B$20+2)*Worksheet!$F$9+(1+Request!$U$4)^(Worksheet!$B$20+3)*Worksheet!$F$10)/Worksheet!$F$5*Request!$E29,0),ROUND(Request!$E29*((1+Request!$U$4)^3)/Worksheet!$F$5*Worksheet!$F$5,0))))))),(IF(AND(Request!$U$4="Multi",Request!$T$4="FY"),ROUND(((1+Request!$O29)^(Worksheet!$B$20+3)*Worksheet!$F$9+(1+Request!$O29)^(Worksheet!$B$20+4)*Worksheet!$F$10)/Worksheet!$F$5*Request!$E29,0),(IF(AND(Request!$U$4="Multi",Request!$T$4="PY"),ROUND(Request!$E29*((1+Request!$O29)^3)/Worksheet!$F$5*Worksheet!$F$5,0),(IF(AND(Request!$U$4&lt;&gt;"Multi",Request!$T$4="FY"),ROUND(((1+Request!$U$4)^(Worksheet!$B$20+3)*Worksheet!$F$9+(1+Request!$U$4)^(Worksheet!$B$20+4)*Worksheet!$F$10)/Worksheet!$F$5*Request!$E29,0),ROUND(Request!$E29*((1+Request!$U$4)^3)/Worksheet!$F$5*Worksheet!$F$5,0)))))))))</f>
        <v>110092</v>
      </c>
      <c r="I410" s="330"/>
      <c r="J410" s="329">
        <f ca="1">IF(Worksheet!$G$5=0,"",IF($C$4=$D$4,(IF(AND(Request!$U$4="Multi",Request!$T$4="FY"),ROUND(((1+Request!$O29)^(Worksheet!$B$20+3)*Worksheet!$G$9+(1+Request!$O29)^(Worksheet!$B$20+4)*Worksheet!$G$10)/Worksheet!$G$5*Request!$E29,0),(IF(AND(Request!$U$4="Multi",Request!$T$4="PY"),ROUND(Request!$E29*((1+Request!$O29)^4)/Worksheet!$G$5*Worksheet!$G$5,0),(IF(AND(Request!$U$4&lt;&gt;"Multi",Request!$T$4="FY"),ROUND(((1+Request!$U$4)^(Worksheet!$B$20+3)*Worksheet!$G$9+(1+Request!$U$4)^(Worksheet!$B$20+4)*Worksheet!$G$10)/Worksheet!$G$5*Request!$E29,0),ROUND(Request!$E29*((1+Request!$U$4)^4)/Worksheet!$G$5*Worksheet!$G$5,0))))))),(IF(AND(Request!$U$4="Multi",Request!$T$4="FY"),ROUND(((1+Request!$O29)^(Worksheet!$B$20+4)*Worksheet!$G$9+(1+Request!$O29)^(Worksheet!$B$20+5)*Worksheet!$G$10)/Worksheet!$G$5*Request!$E29,0),(IF(AND(Request!$U$4="Multi",Request!$T$4="PY"),ROUND(Request!$E29*((1+Request!$O29)^4)/Worksheet!$G$5*Worksheet!$G$5,0),(IF(AND(Request!$U$4&lt;&gt;"Multi",Request!$T$4="FY"),ROUND(((1+Request!$U$4)^(Worksheet!$B$20+4)*Worksheet!$G$9+(1+Request!$U$4)^(Worksheet!$B$20+5)*Worksheet!$G$10)/Worksheet!$G$5*Request!$E29,0),ROUND(Request!$E29*((1+Request!$U$4)^4)/Worksheet!$G$5*Worksheet!$G$5,0)))))))))</f>
        <v>113395</v>
      </c>
      <c r="K410" s="330"/>
      <c r="L410" s="307">
        <f ca="1">IF(Worksheet!$C$5=0,"",IF(AND(Request!$U$4="Multi",Request!$T$4="FY"),ROUND(((1+Request!$O29)^Worksheet!$B$20*Worksheet!$C$9+(1+Request!$O29)^(Worksheet!$B$20+1)*Worksheet!$C$10)/(Worksheet!$C$5)*Request!$G29,0),(IF(AND(Request!$U$4="Multi",Request!$T$4="PY"),ROUND(Request!$G29/(Worksheet!$C$5)*Worksheet!$C$5,0),(IF(AND(Request!$U$4&lt;&gt;"Multi",Request!$T$4="FY"),ROUND(((1+Request!$U$4)^Worksheet!$B$20*Worksheet!$C$9+(1+Request!$U$4)^(Worksheet!$B$20+1)*Worksheet!$C$10)/Worksheet!$C$5*Request!$G29,0),ROUND(Request!$G29/Worksheet!$C$5*Worksheet!$C$5,0)))))))</f>
        <v>100750</v>
      </c>
      <c r="M410" s="307"/>
      <c r="N410" s="307">
        <f ca="1">IF(Worksheet!$D$5=0,"",IF($C$4=$D$4,(IF(AND(Request!$U$4="Multi",Request!$T$4="FY"),ROUND(((1+Request!$O29)^(Worksheet!$B$20)*Worksheet!$D$9+(1+Request!$O29)^(Worksheet!$B$20+1)*Worksheet!$D$10)/Worksheet!$D$5*Request!$G29,0),(IF(AND(Request!$U$4="Multi",Request!$T$4="PY"),ROUND(Request!$G29*(1+Request!$O29)/Worksheet!$D$5*Worksheet!$D$5,0),(IF(AND(Request!$U$4&lt;&gt;"Multi",Request!$T$4="FY"),ROUND(((1+Request!$U$4)^(Worksheet!$B$20)*Worksheet!$D$9+(1+Request!$U$4)^(Worksheet!$B$20+1)*Worksheet!$D$10)/Worksheet!$D$5*Request!$G29,0),ROUND(Request!$G29*(1+Request!$U$4)/Worksheet!$D$5*Worksheet!$D$5,0))))))),(IF(AND(Request!$U$4="Multi",Request!$T$4="FY"),ROUND(((1+Request!$O29)^(Worksheet!$B$20+1)*Worksheet!$D$9+(1+Request!$O29)^(Worksheet!$B$20+2)*Worksheet!$D$10)/Worksheet!$D$5*Request!$G29,0),(IF(AND(Request!$U$4="Multi",Request!$T$4="PY"),ROUND(Request!$G29*(1+Request!$O29)/Worksheet!$D$5*Worksheet!$D$5,0),(IF(AND(Request!$U$4&lt;&gt;"Multi",Request!$T$4="FY"),ROUND(((1+Request!$U$4)^(Worksheet!$B$20+1)*Worksheet!$D$9+(1+Request!$U$4)^(Worksheet!$B$20+2)*Worksheet!$D$10)/Worksheet!$D$5*Request!$G29,0),ROUND(Request!$G29*(1+Request!$U$4)/Worksheet!$D$5*Worksheet!$D$5,0)))))))))</f>
        <v>103773</v>
      </c>
      <c r="O410" s="307"/>
      <c r="P410" s="307">
        <f ca="1">IF(Worksheet!$E$5=0,"",IF($C$4=$D$4,(IF(AND(Request!$U$4="Multi",Request!$T$4="FY"),ROUND(((1+Request!$O29)^(Worksheet!$B$20+1)*Worksheet!$E$9+(1+Request!$O29)^(Worksheet!$B$20+2)*Worksheet!$E$10)/Worksheet!$E$5*Request!$G29,0),(IF(AND(Request!$U$4="Multi",Request!$T$4="PY"),ROUND(Request!$G29*((1+Request!$O29)^2)/Worksheet!$E$5*Worksheet!$E$5,0),(IF(AND(Request!$U$4&lt;&gt;"Multi",Request!$T$4="FY"),ROUND(((1+Request!$U$4)^(Worksheet!$B$20+1)*Worksheet!$E$9+(1+Request!$U$4)^(Worksheet!$B$20+2)*Worksheet!$E$10)/Worksheet!$E$5*Request!$G29,0),ROUND(Request!$G29*((1+Request!$U$4)^2)/Worksheet!$E$5*Worksheet!$E$5,0))))))),(IF(AND(Request!$U$4="Multi",Request!$T$4="FY"),ROUND(((1+Request!$O29)^(Worksheet!$B$20+2)*Worksheet!$E$9+(1+Request!$O29)^(Worksheet!$B$20+3)*Worksheet!$E$10)/Worksheet!$E$5*Request!$G29,0),(IF(AND(Request!$U$4="Multi",Request!$T$4="PY"),ROUND(Request!$G29*((1+Request!$O29)^2)/Worksheet!$E$5*Worksheet!$E$5,0),(IF(AND(Request!$U$4&lt;&gt;"Multi",Request!$T$4="FY"),ROUND(((1+Request!$U$4)^(Worksheet!$B$20+2)*Worksheet!$E$9+(1+Request!$U$4)^(Worksheet!$B$20+3)*Worksheet!$E$10)/Worksheet!$E$5*Request!$G29,0),ROUND(Request!$G29*((1+Request!$U$4)^2)/Worksheet!$E$5*Worksheet!$E$5,0)))))))))</f>
        <v>106886</v>
      </c>
      <c r="Q410" s="307"/>
      <c r="R410" s="307">
        <f ca="1">IF(Worksheet!$F$5=0,"",IF($C$4=$D$4,(IF(AND(Request!$U$4="Multi",Request!$T$4="FY"),ROUND(((1+Request!$O29)^(Worksheet!$B$20+2)*Worksheet!$F$9+(1+Request!$O29)^(Worksheet!$B$20+3)*Worksheet!$F$10)/Worksheet!$F$5*Request!$G29,0),(IF(AND(Request!$U$4="Multi",Request!$T$4="PY"),ROUND(Request!$G29*((1+Request!$O29)^3)/Worksheet!$F$5*Worksheet!$F$5,0),(IF(AND(Request!$U$4&lt;&gt;"Multi",Request!$T$4="FY"),ROUND(((1+Request!$U$4)^(Worksheet!$B$20+2)*Worksheet!$F$9+(1+Request!$U$4)^(Worksheet!$B$20+3)*Worksheet!$F$10)/Worksheet!$F$5*Request!$G29,0),ROUND(Request!$G29*((1+Request!$U$4)^3)/Worksheet!$F$5*Worksheet!$F$5,0))))))),(IF(AND(Request!$U$4="Multi",Request!$T$4="FY"),ROUND(((1+Request!$O29)^(Worksheet!$B$20+3)*Worksheet!$F$9+(1+Request!$O29)^(Worksheet!$B$20+4)*Worksheet!$F$10)/Worksheet!$F$5*Request!$G29,0),(IF(AND(Request!$U$4="Multi",Request!$T$4="PY"),ROUND(Request!$G29*((1+Request!$O29)^3)/Worksheet!$F$5*Worksheet!$F$5,0),(IF(AND(Request!$U$4&lt;&gt;"Multi",Request!$T$4="FY"),ROUND(((1+Request!$U$4)^(Worksheet!$B$20+3)*Worksheet!$F$9+(1+Request!$U$4)^(Worksheet!$B$20+4)*Worksheet!$F$10)/Worksheet!$F$5*Request!$G29,0),ROUND(Request!$G29*((1+Request!$U$4)^3)/Worksheet!$F$5*Worksheet!$F$5,0)))))))))</f>
        <v>110092</v>
      </c>
      <c r="S410" s="307"/>
      <c r="T410" s="307">
        <f ca="1">IF(Worksheet!$G$5=0,"",IF($C$4=$D$4,(IF(AND(Request!$U$4="Multi",Request!$T$4="FY"),ROUND(((1+Request!$O29)^(Worksheet!$B$20+3)*Worksheet!$G$9+(1+Request!$O29)^(Worksheet!$B$20+4)*Worksheet!$G$10)/Worksheet!$G$5*Request!$G29,0),(IF(AND(Request!$U$4="Multi",Request!$T$4="PY"),ROUND(Request!$G29*((1+Request!$O29)^4)/Worksheet!$G$5*Worksheet!$G$5,0),(IF(AND(Request!$U$4&lt;&gt;"Multi",Request!$T$4="FY"),ROUND(((1+Request!$U$4)^(Worksheet!$B$20+3)*Worksheet!$G$9+(1+Request!$U$4)^(Worksheet!$B$20+4)*Worksheet!$G$10)/Worksheet!$G$5*Request!$G29,0),ROUND(Request!$G29*((1+Request!$U$4)^4)/Worksheet!$G$5*Worksheet!$G$5,0))))))),(IF(AND(Request!$U$4="Multi",Request!$T$4="FY"),ROUND(((1+Request!$O29)^(Worksheet!$B$20+4)*Worksheet!$G$9+(1+Request!$O29)^(Worksheet!$B$20+5)*Worksheet!$G$10)/Worksheet!$G$5*Request!$G29,0),(IF(AND(Request!$U$4="Multi",Request!$T$4="PY"),ROUND(Request!$G29*((1+Request!$O29)^4)/Worksheet!$G$5*Worksheet!$G$5,0),(IF(AND(Request!$U$4&lt;&gt;"Multi",Request!$T$4="FY"),ROUND(((1+Request!$U$4)^(Worksheet!$B$20+4)*Worksheet!$G$9+(1+Request!$U$4)^(Worksheet!$B$20+5)*Worksheet!$G$10)/Worksheet!$G$5*Request!$G29,0),ROUND(Request!$G29*((1+Request!$U$4)^4)/Worksheet!$G$5*Worksheet!$G$5,0)))))))))</f>
        <v>113395</v>
      </c>
      <c r="U410" s="307"/>
    </row>
    <row r="411" spans="1:21" x14ac:dyDescent="0.2">
      <c r="A411" s="71">
        <f>'Personnel Reference'!B26</f>
        <v>0</v>
      </c>
      <c r="B411" s="329">
        <f ca="1">IF(Worksheet!$C$5=0,"",IF(AND(Request!$U$4="Multi",Request!$T$4="FY"),ROUND(((1+Request!$O30)^Worksheet!$B$20*Worksheet!$C$9+(1+Request!$O30)^(Worksheet!$B$20+1)*Worksheet!$C$10)/(Worksheet!$C$5)*Request!$E30,0),(IF(AND(Request!$U$4="Multi",Request!$T$4="PY"),ROUND(Request!$E30/(Worksheet!$C$5)*Worksheet!$C$5,0),(IF(AND(Request!$U$4&lt;&gt;"Multi",Request!$T$4="FY"),ROUND(((1+Request!$U$4)^Worksheet!$B$20*Worksheet!$C$9+(1+Request!$U$4)^(Worksheet!$B$20+1)*Worksheet!$C$10)/Worksheet!$C$5*Request!$E30,0),ROUND(Request!$E30/Worksheet!$C$5*Worksheet!$C$5,0)))))))</f>
        <v>100750</v>
      </c>
      <c r="C411" s="330"/>
      <c r="D411" s="329">
        <f ca="1">IF(Worksheet!$D$5=0,"",IF($C$4=$D$4,(IF(AND(Request!$U$4="Multi",Request!$T$4="FY"),ROUND(((1+Request!$O30)^(Worksheet!$B$20)*Worksheet!$D$9+(1+Request!$O30)^(Worksheet!$B$20+1)*Worksheet!$D$10)/Worksheet!$D$5*Request!$E30,0),(IF(AND(Request!$U$4="Multi",Request!$T$4="PY"),ROUND(Request!$E30*(1+Request!$O30)/Worksheet!$D$5*Worksheet!$D$5,0),(IF(AND(Request!$U$4&lt;&gt;"Multi",Request!$T$4="FY"),ROUND(((1+Request!$U$4)^(Worksheet!$B$20)*Worksheet!$D$9+(1+Request!$U$4)^(Worksheet!$B$20+1)*Worksheet!$D$10)/Worksheet!$D$5*Request!$E30,0),ROUND(Request!$E30*(1+Request!$U$4)/Worksheet!$D$5*Worksheet!$D$5,0))))))),(IF(AND(Request!$U$4="Multi",Request!$T$4="FY"),ROUND(((1+Request!$O30)^(Worksheet!$B$20+1)*Worksheet!$D$9+(1+Request!$O30)^(Worksheet!$B$20+2)*Worksheet!$D$10)/Worksheet!$D$5*Request!$E30,0),(IF(AND(Request!$U$4="Multi",Request!$T$4="PY"),ROUND(Request!$E30*(1+Request!$O30)/Worksheet!$D$5*Worksheet!$D$5,0),(IF(AND(Request!$U$4&lt;&gt;"Multi",Request!$T$4="FY"),ROUND(((1+Request!$U$4)^(Worksheet!$B$20+1)*Worksheet!$D$9+(1+Request!$U$4)^(Worksheet!$B$20+2)*Worksheet!$D$10)/Worksheet!$D$5*Request!$E30,0),ROUND(Request!$E30*(1+Request!$U$4)/Worksheet!$D$5*Worksheet!$D$5,0)))))))))</f>
        <v>103773</v>
      </c>
      <c r="E411" s="330"/>
      <c r="F411" s="329">
        <f ca="1">IF(Worksheet!$E$5=0,"",IF($C$4=$D$4,(IF(AND(Request!$U$4="Multi",Request!$T$4="FY"),ROUND(((1+Request!$O30)^(Worksheet!$B$20+1)*Worksheet!$E$9+(1+Request!$O30)^(Worksheet!$B$20+3)*Worksheet!$E$10)/Worksheet!$E$5*Request!$E30,0),(IF(AND(Request!$U$4="Multi",Request!$T$4="PY"),ROUND(Request!$E30*((1+Request!$O30)^2)/Worksheet!$E$5*Worksheet!$E$5,0),(IF(AND(Request!$U$4&lt;&gt;"Multi",Request!$T$4="FY"),ROUND(((1+Request!$U$4)^(Worksheet!$B$20+1)*Worksheet!$E$9+(1+Request!$U$4)^(Worksheet!$B$20+2)*Worksheet!$E$10)/Worksheet!$E$5*Request!$E30,0),ROUND(Request!$E30*((1+Request!$U$4)^2)/Worksheet!$E$5*Worksheet!$E$5,0))))))),(IF(AND(Request!$U$4="Multi",Request!$T$4="FY"),ROUND(((1+Request!$O30)^(Worksheet!$B$20+2)*Worksheet!$E$9+(1+Request!$O30)^(Worksheet!$B$20+3)*Worksheet!$E$10)/Worksheet!$E$5*Request!$E30,0),(IF(AND(Request!$U$4="Multi",Request!$T$4="PY"),ROUND(Request!$E30*((1+Request!$O30)^2)/Worksheet!$E$5*Worksheet!$E$5,0),(IF(AND(Request!$U$4&lt;&gt;"Multi",Request!$T$4="FY"),ROUND(((1+Request!$U$4)^(Worksheet!$B$20+2)*Worksheet!$E$9+(1+Request!$U$4)^(Worksheet!$B$20+3)*Worksheet!$E$10)/Worksheet!$E$5*Request!$E30,0),ROUND(Request!$E30*((1+Request!$U$4)^2)/Worksheet!$E$5*Worksheet!$E$5,0)))))))))</f>
        <v>106886</v>
      </c>
      <c r="G411" s="330"/>
      <c r="H411" s="329">
        <f ca="1">IF(Worksheet!$F$5=0,"",IF($C$4=$D$4,(IF(AND(Request!$U$4="Multi",Request!$T$4="FY"),ROUND(((1+Request!$O30)^(Worksheet!$B$20+2)*Worksheet!$F$9+(1+Request!$O30)^(Worksheet!$B$20+3)*Worksheet!$F$10)/Worksheet!$F$5*Request!$E30,0),(IF(AND(Request!$U$4="Multi",Request!$T$4="PY"),ROUND(Request!$E30*((1+Request!$O30)^3)/Worksheet!$F$5*Worksheet!$F$5,0),(IF(AND(Request!$U$4&lt;&gt;"Multi",Request!$T$4="FY"),ROUND(((1+Request!$U$4)^(Worksheet!$B$20+2)*Worksheet!$F$9+(1+Request!$U$4)^(Worksheet!$B$20+3)*Worksheet!$F$10)/Worksheet!$F$5*Request!$E30,0),ROUND(Request!$E30*((1+Request!$U$4)^3)/Worksheet!$F$5*Worksheet!$F$5,0))))))),(IF(AND(Request!$U$4="Multi",Request!$T$4="FY"),ROUND(((1+Request!$O30)^(Worksheet!$B$20+3)*Worksheet!$F$9+(1+Request!$O30)^(Worksheet!$B$20+4)*Worksheet!$F$10)/Worksheet!$F$5*Request!$E30,0),(IF(AND(Request!$U$4="Multi",Request!$T$4="PY"),ROUND(Request!$E30*((1+Request!$O30)^3)/Worksheet!$F$5*Worksheet!$F$5,0),(IF(AND(Request!$U$4&lt;&gt;"Multi",Request!$T$4="FY"),ROUND(((1+Request!$U$4)^(Worksheet!$B$20+3)*Worksheet!$F$9+(1+Request!$U$4)^(Worksheet!$B$20+4)*Worksheet!$F$10)/Worksheet!$F$5*Request!$E30,0),ROUND(Request!$E30*((1+Request!$U$4)^3)/Worksheet!$F$5*Worksheet!$F$5,0)))))))))</f>
        <v>110092</v>
      </c>
      <c r="I411" s="330"/>
      <c r="J411" s="329">
        <f ca="1">IF(Worksheet!$G$5=0,"",IF($C$4=$D$4,(IF(AND(Request!$U$4="Multi",Request!$T$4="FY"),ROUND(((1+Request!$O30)^(Worksheet!$B$20+3)*Worksheet!$G$9+(1+Request!$O30)^(Worksheet!$B$20+4)*Worksheet!$G$10)/Worksheet!$G$5*Request!$E30,0),(IF(AND(Request!$U$4="Multi",Request!$T$4="PY"),ROUND(Request!$E30*((1+Request!$O30)^4)/Worksheet!$G$5*Worksheet!$G$5,0),(IF(AND(Request!$U$4&lt;&gt;"Multi",Request!$T$4="FY"),ROUND(((1+Request!$U$4)^(Worksheet!$B$20+3)*Worksheet!$G$9+(1+Request!$U$4)^(Worksheet!$B$20+4)*Worksheet!$G$10)/Worksheet!$G$5*Request!$E30,0),ROUND(Request!$E30*((1+Request!$U$4)^4)/Worksheet!$G$5*Worksheet!$G$5,0))))))),(IF(AND(Request!$U$4="Multi",Request!$T$4="FY"),ROUND(((1+Request!$O30)^(Worksheet!$B$20+4)*Worksheet!$G$9+(1+Request!$O30)^(Worksheet!$B$20+5)*Worksheet!$G$10)/Worksheet!$G$5*Request!$E30,0),(IF(AND(Request!$U$4="Multi",Request!$T$4="PY"),ROUND(Request!$E30*((1+Request!$O30)^4)/Worksheet!$G$5*Worksheet!$G$5,0),(IF(AND(Request!$U$4&lt;&gt;"Multi",Request!$T$4="FY"),ROUND(((1+Request!$U$4)^(Worksheet!$B$20+4)*Worksheet!$G$9+(1+Request!$U$4)^(Worksheet!$B$20+5)*Worksheet!$G$10)/Worksheet!$G$5*Request!$E30,0),ROUND(Request!$E30*((1+Request!$U$4)^4)/Worksheet!$G$5*Worksheet!$G$5,0)))))))))</f>
        <v>113395</v>
      </c>
      <c r="K411" s="330"/>
      <c r="L411" s="307">
        <f ca="1">IF(Worksheet!$C$5=0,"",IF(AND(Request!$U$4="Multi",Request!$T$4="FY"),ROUND(((1+Request!$O30)^Worksheet!$B$20*Worksheet!$C$9+(1+Request!$O30)^(Worksheet!$B$20+1)*Worksheet!$C$10)/(Worksheet!$C$5)*Request!$G30,0),(IF(AND(Request!$U$4="Multi",Request!$T$4="PY"),ROUND(Request!$G30/(Worksheet!$C$5)*Worksheet!$C$5,0),(IF(AND(Request!$U$4&lt;&gt;"Multi",Request!$T$4="FY"),ROUND(((1+Request!$U$4)^Worksheet!$B$20*Worksheet!$C$9+(1+Request!$U$4)^(Worksheet!$B$20+1)*Worksheet!$C$10)/Worksheet!$C$5*Request!$G30,0),ROUND(Request!$G30/Worksheet!$C$5*Worksheet!$C$5,0)))))))</f>
        <v>100750</v>
      </c>
      <c r="M411" s="307"/>
      <c r="N411" s="307">
        <f ca="1">IF(Worksheet!$D$5=0,"",IF($C$4=$D$4,(IF(AND(Request!$U$4="Multi",Request!$T$4="FY"),ROUND(((1+Request!$O30)^(Worksheet!$B$20)*Worksheet!$D$9+(1+Request!$O30)^(Worksheet!$B$20+1)*Worksheet!$D$10)/Worksheet!$D$5*Request!$G30,0),(IF(AND(Request!$U$4="Multi",Request!$T$4="PY"),ROUND(Request!$G30*(1+Request!$O30)/Worksheet!$D$5*Worksheet!$D$5,0),(IF(AND(Request!$U$4&lt;&gt;"Multi",Request!$T$4="FY"),ROUND(((1+Request!$U$4)^(Worksheet!$B$20)*Worksheet!$D$9+(1+Request!$U$4)^(Worksheet!$B$20+1)*Worksheet!$D$10)/Worksheet!$D$5*Request!$G30,0),ROUND(Request!$G30*(1+Request!$U$4)/Worksheet!$D$5*Worksheet!$D$5,0))))))),(IF(AND(Request!$U$4="Multi",Request!$T$4="FY"),ROUND(((1+Request!$O30)^(Worksheet!$B$20+1)*Worksheet!$D$9+(1+Request!$O30)^(Worksheet!$B$20+2)*Worksheet!$D$10)/Worksheet!$D$5*Request!$G30,0),(IF(AND(Request!$U$4="Multi",Request!$T$4="PY"),ROUND(Request!$G30*(1+Request!$O30)/Worksheet!$D$5*Worksheet!$D$5,0),(IF(AND(Request!$U$4&lt;&gt;"Multi",Request!$T$4="FY"),ROUND(((1+Request!$U$4)^(Worksheet!$B$20+1)*Worksheet!$D$9+(1+Request!$U$4)^(Worksheet!$B$20+2)*Worksheet!$D$10)/Worksheet!$D$5*Request!$G30,0),ROUND(Request!$G30*(1+Request!$U$4)/Worksheet!$D$5*Worksheet!$D$5,0)))))))))</f>
        <v>103773</v>
      </c>
      <c r="O411" s="307"/>
      <c r="P411" s="307">
        <f ca="1">IF(Worksheet!$E$5=0,"",IF($C$4=$D$4,(IF(AND(Request!$U$4="Multi",Request!$T$4="FY"),ROUND(((1+Request!$O30)^(Worksheet!$B$20+1)*Worksheet!$E$9+(1+Request!$O30)^(Worksheet!$B$20+2)*Worksheet!$E$10)/Worksheet!$E$5*Request!$G30,0),(IF(AND(Request!$U$4="Multi",Request!$T$4="PY"),ROUND(Request!$G30*((1+Request!$O30)^2)/Worksheet!$E$5*Worksheet!$E$5,0),(IF(AND(Request!$U$4&lt;&gt;"Multi",Request!$T$4="FY"),ROUND(((1+Request!$U$4)^(Worksheet!$B$20+1)*Worksheet!$E$9+(1+Request!$U$4)^(Worksheet!$B$20+2)*Worksheet!$E$10)/Worksheet!$E$5*Request!$G30,0),ROUND(Request!$G30*((1+Request!$U$4)^2)/Worksheet!$E$5*Worksheet!$E$5,0))))))),(IF(AND(Request!$U$4="Multi",Request!$T$4="FY"),ROUND(((1+Request!$O30)^(Worksheet!$B$20+2)*Worksheet!$E$9+(1+Request!$O30)^(Worksheet!$B$20+3)*Worksheet!$E$10)/Worksheet!$E$5*Request!$G30,0),(IF(AND(Request!$U$4="Multi",Request!$T$4="PY"),ROUND(Request!$G30*((1+Request!$O30)^2)/Worksheet!$E$5*Worksheet!$E$5,0),(IF(AND(Request!$U$4&lt;&gt;"Multi",Request!$T$4="FY"),ROUND(((1+Request!$U$4)^(Worksheet!$B$20+2)*Worksheet!$E$9+(1+Request!$U$4)^(Worksheet!$B$20+3)*Worksheet!$E$10)/Worksheet!$E$5*Request!$G30,0),ROUND(Request!$G30*((1+Request!$U$4)^2)/Worksheet!$E$5*Worksheet!$E$5,0)))))))))</f>
        <v>106886</v>
      </c>
      <c r="Q411" s="307"/>
      <c r="R411" s="307">
        <f ca="1">IF(Worksheet!$F$5=0,"",IF($C$4=$D$4,(IF(AND(Request!$U$4="Multi",Request!$T$4="FY"),ROUND(((1+Request!$O30)^(Worksheet!$B$20+2)*Worksheet!$F$9+(1+Request!$O30)^(Worksheet!$B$20+3)*Worksheet!$F$10)/Worksheet!$F$5*Request!$G30,0),(IF(AND(Request!$U$4="Multi",Request!$T$4="PY"),ROUND(Request!$G30*((1+Request!$O30)^3)/Worksheet!$F$5*Worksheet!$F$5,0),(IF(AND(Request!$U$4&lt;&gt;"Multi",Request!$T$4="FY"),ROUND(((1+Request!$U$4)^(Worksheet!$B$20+2)*Worksheet!$F$9+(1+Request!$U$4)^(Worksheet!$B$20+3)*Worksheet!$F$10)/Worksheet!$F$5*Request!$G30,0),ROUND(Request!$G30*((1+Request!$U$4)^3)/Worksheet!$F$5*Worksheet!$F$5,0))))))),(IF(AND(Request!$U$4="Multi",Request!$T$4="FY"),ROUND(((1+Request!$O30)^(Worksheet!$B$20+3)*Worksheet!$F$9+(1+Request!$O30)^(Worksheet!$B$20+4)*Worksheet!$F$10)/Worksheet!$F$5*Request!$G30,0),(IF(AND(Request!$U$4="Multi",Request!$T$4="PY"),ROUND(Request!$G30*((1+Request!$O30)^3)/Worksheet!$F$5*Worksheet!$F$5,0),(IF(AND(Request!$U$4&lt;&gt;"Multi",Request!$T$4="FY"),ROUND(((1+Request!$U$4)^(Worksheet!$B$20+3)*Worksheet!$F$9+(1+Request!$U$4)^(Worksheet!$B$20+4)*Worksheet!$F$10)/Worksheet!$F$5*Request!$G30,0),ROUND(Request!$G30*((1+Request!$U$4)^3)/Worksheet!$F$5*Worksheet!$F$5,0)))))))))</f>
        <v>110092</v>
      </c>
      <c r="S411" s="307"/>
      <c r="T411" s="307">
        <f ca="1">IF(Worksheet!$G$5=0,"",IF($C$4=$D$4,(IF(AND(Request!$U$4="Multi",Request!$T$4="FY"),ROUND(((1+Request!$O30)^(Worksheet!$B$20+3)*Worksheet!$G$9+(1+Request!$O30)^(Worksheet!$B$20+4)*Worksheet!$G$10)/Worksheet!$G$5*Request!$G30,0),(IF(AND(Request!$U$4="Multi",Request!$T$4="PY"),ROUND(Request!$G30*((1+Request!$O30)^4)/Worksheet!$G$5*Worksheet!$G$5,0),(IF(AND(Request!$U$4&lt;&gt;"Multi",Request!$T$4="FY"),ROUND(((1+Request!$U$4)^(Worksheet!$B$20+3)*Worksheet!$G$9+(1+Request!$U$4)^(Worksheet!$B$20+4)*Worksheet!$G$10)/Worksheet!$G$5*Request!$G30,0),ROUND(Request!$G30*((1+Request!$U$4)^4)/Worksheet!$G$5*Worksheet!$G$5,0))))))),(IF(AND(Request!$U$4="Multi",Request!$T$4="FY"),ROUND(((1+Request!$O30)^(Worksheet!$B$20+4)*Worksheet!$G$9+(1+Request!$O30)^(Worksheet!$B$20+5)*Worksheet!$G$10)/Worksheet!$G$5*Request!$G30,0),(IF(AND(Request!$U$4="Multi",Request!$T$4="PY"),ROUND(Request!$G30*((1+Request!$O30)^4)/Worksheet!$G$5*Worksheet!$G$5,0),(IF(AND(Request!$U$4&lt;&gt;"Multi",Request!$T$4="FY"),ROUND(((1+Request!$U$4)^(Worksheet!$B$20+4)*Worksheet!$G$9+(1+Request!$U$4)^(Worksheet!$B$20+5)*Worksheet!$G$10)/Worksheet!$G$5*Request!$G30,0),ROUND(Request!$G30*((1+Request!$U$4)^4)/Worksheet!$G$5*Worksheet!$G$5,0)))))))))</f>
        <v>113395</v>
      </c>
      <c r="U411" s="307"/>
    </row>
    <row r="412" spans="1:21" x14ac:dyDescent="0.2">
      <c r="A412" s="71">
        <f>'Personnel Reference'!B27</f>
        <v>0</v>
      </c>
      <c r="B412" s="329">
        <f ca="1">IF(Worksheet!$C$5=0,"",IF(AND(Request!$U$4="Multi",Request!$T$4="FY"),ROUND(((1+Request!$O31)^Worksheet!$B$20*Worksheet!$C$9+(1+Request!$O31)^(Worksheet!$B$20+1)*Worksheet!$C$10)/(Worksheet!$C$5)*Request!$E31,0),(IF(AND(Request!$U$4="Multi",Request!$T$4="PY"),ROUND(Request!$E31/(Worksheet!$C$5)*Worksheet!$C$5,0),(IF(AND(Request!$U$4&lt;&gt;"Multi",Request!$T$4="FY"),ROUND(((1+Request!$U$4)^Worksheet!$B$20*Worksheet!$C$9+(1+Request!$U$4)^(Worksheet!$B$20+1)*Worksheet!$C$10)/Worksheet!$C$5*Request!$E31,0),ROUND(Request!$E31/Worksheet!$C$5*Worksheet!$C$5,0)))))))</f>
        <v>100750</v>
      </c>
      <c r="C412" s="330"/>
      <c r="D412" s="329">
        <f ca="1">IF(Worksheet!$D$5=0,"",IF($C$4=$D$4,(IF(AND(Request!$U$4="Multi",Request!$T$4="FY"),ROUND(((1+Request!$O31)^(Worksheet!$B$20)*Worksheet!$D$9+(1+Request!$O31)^(Worksheet!$B$20+1)*Worksheet!$D$10)/Worksheet!$D$5*Request!$E31,0),(IF(AND(Request!$U$4="Multi",Request!$T$4="PY"),ROUND(Request!$E31*(1+Request!$O31)/Worksheet!$D$5*Worksheet!$D$5,0),(IF(AND(Request!$U$4&lt;&gt;"Multi",Request!$T$4="FY"),ROUND(((1+Request!$U$4)^(Worksheet!$B$20)*Worksheet!$D$9+(1+Request!$U$4)^(Worksheet!$B$20+1)*Worksheet!$D$10)/Worksheet!$D$5*Request!$E31,0),ROUND(Request!$E31*(1+Request!$U$4)/Worksheet!$D$5*Worksheet!$D$5,0))))))),(IF(AND(Request!$U$4="Multi",Request!$T$4="FY"),ROUND(((1+Request!$O31)^(Worksheet!$B$20+1)*Worksheet!$D$9+(1+Request!$O31)^(Worksheet!$B$20+2)*Worksheet!$D$10)/Worksheet!$D$5*Request!$E31,0),(IF(AND(Request!$U$4="Multi",Request!$T$4="PY"),ROUND(Request!$E31*(1+Request!$O31)/Worksheet!$D$5*Worksheet!$D$5,0),(IF(AND(Request!$U$4&lt;&gt;"Multi",Request!$T$4="FY"),ROUND(((1+Request!$U$4)^(Worksheet!$B$20+1)*Worksheet!$D$9+(1+Request!$U$4)^(Worksheet!$B$20+2)*Worksheet!$D$10)/Worksheet!$D$5*Request!$E31,0),ROUND(Request!$E31*(1+Request!$U$4)/Worksheet!$D$5*Worksheet!$D$5,0)))))))))</f>
        <v>103773</v>
      </c>
      <c r="E412" s="330"/>
      <c r="F412" s="329">
        <f ca="1">IF(Worksheet!$E$5=0,"",IF($C$4=$D$4,(IF(AND(Request!$U$4="Multi",Request!$T$4="FY"),ROUND(((1+Request!$O31)^(Worksheet!$B$20+1)*Worksheet!$E$9+(1+Request!$O31)^(Worksheet!$B$20+3)*Worksheet!$E$10)/Worksheet!$E$5*Request!$E31,0),(IF(AND(Request!$U$4="Multi",Request!$T$4="PY"),ROUND(Request!$E31*((1+Request!$O31)^2)/Worksheet!$E$5*Worksheet!$E$5,0),(IF(AND(Request!$U$4&lt;&gt;"Multi",Request!$T$4="FY"),ROUND(((1+Request!$U$4)^(Worksheet!$B$20+1)*Worksheet!$E$9+(1+Request!$U$4)^(Worksheet!$B$20+2)*Worksheet!$E$10)/Worksheet!$E$5*Request!$E31,0),ROUND(Request!$E31*((1+Request!$U$4)^2)/Worksheet!$E$5*Worksheet!$E$5,0))))))),(IF(AND(Request!$U$4="Multi",Request!$T$4="FY"),ROUND(((1+Request!$O31)^(Worksheet!$B$20+2)*Worksheet!$E$9+(1+Request!$O31)^(Worksheet!$B$20+3)*Worksheet!$E$10)/Worksheet!$E$5*Request!$E31,0),(IF(AND(Request!$U$4="Multi",Request!$T$4="PY"),ROUND(Request!$E31*((1+Request!$O31)^2)/Worksheet!$E$5*Worksheet!$E$5,0),(IF(AND(Request!$U$4&lt;&gt;"Multi",Request!$T$4="FY"),ROUND(((1+Request!$U$4)^(Worksheet!$B$20+2)*Worksheet!$E$9+(1+Request!$U$4)^(Worksheet!$B$20+3)*Worksheet!$E$10)/Worksheet!$E$5*Request!$E31,0),ROUND(Request!$E31*((1+Request!$U$4)^2)/Worksheet!$E$5*Worksheet!$E$5,0)))))))))</f>
        <v>106886</v>
      </c>
      <c r="G412" s="330"/>
      <c r="H412" s="329">
        <f ca="1">IF(Worksheet!$F$5=0,"",IF($C$4=$D$4,(IF(AND(Request!$U$4="Multi",Request!$T$4="FY"),ROUND(((1+Request!$O31)^(Worksheet!$B$20+2)*Worksheet!$F$9+(1+Request!$O31)^(Worksheet!$B$20+3)*Worksheet!$F$10)/Worksheet!$F$5*Request!$E31,0),(IF(AND(Request!$U$4="Multi",Request!$T$4="PY"),ROUND(Request!$E31*((1+Request!$O31)^3)/Worksheet!$F$5*Worksheet!$F$5,0),(IF(AND(Request!$U$4&lt;&gt;"Multi",Request!$T$4="FY"),ROUND(((1+Request!$U$4)^(Worksheet!$B$20+2)*Worksheet!$F$9+(1+Request!$U$4)^(Worksheet!$B$20+3)*Worksheet!$F$10)/Worksheet!$F$5*Request!$E31,0),ROUND(Request!$E31*((1+Request!$U$4)^3)/Worksheet!$F$5*Worksheet!$F$5,0))))))),(IF(AND(Request!$U$4="Multi",Request!$T$4="FY"),ROUND(((1+Request!$O31)^(Worksheet!$B$20+3)*Worksheet!$F$9+(1+Request!$O31)^(Worksheet!$B$20+4)*Worksheet!$F$10)/Worksheet!$F$5*Request!$E31,0),(IF(AND(Request!$U$4="Multi",Request!$T$4="PY"),ROUND(Request!$E31*((1+Request!$O31)^3)/Worksheet!$F$5*Worksheet!$F$5,0),(IF(AND(Request!$U$4&lt;&gt;"Multi",Request!$T$4="FY"),ROUND(((1+Request!$U$4)^(Worksheet!$B$20+3)*Worksheet!$F$9+(1+Request!$U$4)^(Worksheet!$B$20+4)*Worksheet!$F$10)/Worksheet!$F$5*Request!$E31,0),ROUND(Request!$E31*((1+Request!$U$4)^3)/Worksheet!$F$5*Worksheet!$F$5,0)))))))))</f>
        <v>110092</v>
      </c>
      <c r="I412" s="330"/>
      <c r="J412" s="329">
        <f ca="1">IF(Worksheet!$G$5=0,"",IF($C$4=$D$4,(IF(AND(Request!$U$4="Multi",Request!$T$4="FY"),ROUND(((1+Request!$O31)^(Worksheet!$B$20+3)*Worksheet!$G$9+(1+Request!$O31)^(Worksheet!$B$20+4)*Worksheet!$G$10)/Worksheet!$G$5*Request!$E31,0),(IF(AND(Request!$U$4="Multi",Request!$T$4="PY"),ROUND(Request!$E31*((1+Request!$O31)^4)/Worksheet!$G$5*Worksheet!$G$5,0),(IF(AND(Request!$U$4&lt;&gt;"Multi",Request!$T$4="FY"),ROUND(((1+Request!$U$4)^(Worksheet!$B$20+3)*Worksheet!$G$9+(1+Request!$U$4)^(Worksheet!$B$20+4)*Worksheet!$G$10)/Worksheet!$G$5*Request!$E31,0),ROUND(Request!$E31*((1+Request!$U$4)^4)/Worksheet!$G$5*Worksheet!$G$5,0))))))),(IF(AND(Request!$U$4="Multi",Request!$T$4="FY"),ROUND(((1+Request!$O31)^(Worksheet!$B$20+4)*Worksheet!$G$9+(1+Request!$O31)^(Worksheet!$B$20+5)*Worksheet!$G$10)/Worksheet!$G$5*Request!$E31,0),(IF(AND(Request!$U$4="Multi",Request!$T$4="PY"),ROUND(Request!$E31*((1+Request!$O31)^4)/Worksheet!$G$5*Worksheet!$G$5,0),(IF(AND(Request!$U$4&lt;&gt;"Multi",Request!$T$4="FY"),ROUND(((1+Request!$U$4)^(Worksheet!$B$20+4)*Worksheet!$G$9+(1+Request!$U$4)^(Worksheet!$B$20+5)*Worksheet!$G$10)/Worksheet!$G$5*Request!$E31,0),ROUND(Request!$E31*((1+Request!$U$4)^4)/Worksheet!$G$5*Worksheet!$G$5,0)))))))))</f>
        <v>113395</v>
      </c>
      <c r="K412" s="330"/>
      <c r="L412" s="307">
        <f ca="1">IF(Worksheet!$C$5=0,"",IF(AND(Request!$U$4="Multi",Request!$T$4="FY"),ROUND(((1+Request!$O31)^Worksheet!$B$20*Worksheet!$C$9+(1+Request!$O31)^(Worksheet!$B$20+1)*Worksheet!$C$10)/(Worksheet!$C$5)*Request!$G31,0),(IF(AND(Request!$U$4="Multi",Request!$T$4="PY"),ROUND(Request!$G31/(Worksheet!$C$5)*Worksheet!$C$5,0),(IF(AND(Request!$U$4&lt;&gt;"Multi",Request!$T$4="FY"),ROUND(((1+Request!$U$4)^Worksheet!$B$20*Worksheet!$C$9+(1+Request!$U$4)^(Worksheet!$B$20+1)*Worksheet!$C$10)/Worksheet!$C$5*Request!$G31,0),ROUND(Request!$G31/Worksheet!$C$5*Worksheet!$C$5,0)))))))</f>
        <v>100750</v>
      </c>
      <c r="M412" s="307"/>
      <c r="N412" s="307">
        <f ca="1">IF(Worksheet!$D$5=0,"",IF($C$4=$D$4,(IF(AND(Request!$U$4="Multi",Request!$T$4="FY"),ROUND(((1+Request!$O31)^(Worksheet!$B$20)*Worksheet!$D$9+(1+Request!$O31)^(Worksheet!$B$20+1)*Worksheet!$D$10)/Worksheet!$D$5*Request!$G31,0),(IF(AND(Request!$U$4="Multi",Request!$T$4="PY"),ROUND(Request!$G31*(1+Request!$O31)/Worksheet!$D$5*Worksheet!$D$5,0),(IF(AND(Request!$U$4&lt;&gt;"Multi",Request!$T$4="FY"),ROUND(((1+Request!$U$4)^(Worksheet!$B$20)*Worksheet!$D$9+(1+Request!$U$4)^(Worksheet!$B$20+1)*Worksheet!$D$10)/Worksheet!$D$5*Request!$G31,0),ROUND(Request!$G31*(1+Request!$U$4)/Worksheet!$D$5*Worksheet!$D$5,0))))))),(IF(AND(Request!$U$4="Multi",Request!$T$4="FY"),ROUND(((1+Request!$O31)^(Worksheet!$B$20+1)*Worksheet!$D$9+(1+Request!$O31)^(Worksheet!$B$20+2)*Worksheet!$D$10)/Worksheet!$D$5*Request!$G31,0),(IF(AND(Request!$U$4="Multi",Request!$T$4="PY"),ROUND(Request!$G31*(1+Request!$O31)/Worksheet!$D$5*Worksheet!$D$5,0),(IF(AND(Request!$U$4&lt;&gt;"Multi",Request!$T$4="FY"),ROUND(((1+Request!$U$4)^(Worksheet!$B$20+1)*Worksheet!$D$9+(1+Request!$U$4)^(Worksheet!$B$20+2)*Worksheet!$D$10)/Worksheet!$D$5*Request!$G31,0),ROUND(Request!$G31*(1+Request!$U$4)/Worksheet!$D$5*Worksheet!$D$5,0)))))))))</f>
        <v>103773</v>
      </c>
      <c r="O412" s="307"/>
      <c r="P412" s="307">
        <f ca="1">IF(Worksheet!$E$5=0,"",IF($C$4=$D$4,(IF(AND(Request!$U$4="Multi",Request!$T$4="FY"),ROUND(((1+Request!$O31)^(Worksheet!$B$20+1)*Worksheet!$E$9+(1+Request!$O31)^(Worksheet!$B$20+2)*Worksheet!$E$10)/Worksheet!$E$5*Request!$G31,0),(IF(AND(Request!$U$4="Multi",Request!$T$4="PY"),ROUND(Request!$G31*((1+Request!$O31)^2)/Worksheet!$E$5*Worksheet!$E$5,0),(IF(AND(Request!$U$4&lt;&gt;"Multi",Request!$T$4="FY"),ROUND(((1+Request!$U$4)^(Worksheet!$B$20+1)*Worksheet!$E$9+(1+Request!$U$4)^(Worksheet!$B$20+2)*Worksheet!$E$10)/Worksheet!$E$5*Request!$G31,0),ROUND(Request!$G31*((1+Request!$U$4)^2)/Worksheet!$E$5*Worksheet!$E$5,0))))))),(IF(AND(Request!$U$4="Multi",Request!$T$4="FY"),ROUND(((1+Request!$O31)^(Worksheet!$B$20+2)*Worksheet!$E$9+(1+Request!$O31)^(Worksheet!$B$20+3)*Worksheet!$E$10)/Worksheet!$E$5*Request!$G31,0),(IF(AND(Request!$U$4="Multi",Request!$T$4="PY"),ROUND(Request!$G31*((1+Request!$O31)^2)/Worksheet!$E$5*Worksheet!$E$5,0),(IF(AND(Request!$U$4&lt;&gt;"Multi",Request!$T$4="FY"),ROUND(((1+Request!$U$4)^(Worksheet!$B$20+2)*Worksheet!$E$9+(1+Request!$U$4)^(Worksheet!$B$20+3)*Worksheet!$E$10)/Worksheet!$E$5*Request!$G31,0),ROUND(Request!$G31*((1+Request!$U$4)^2)/Worksheet!$E$5*Worksheet!$E$5,0)))))))))</f>
        <v>106886</v>
      </c>
      <c r="Q412" s="307"/>
      <c r="R412" s="307">
        <f ca="1">IF(Worksheet!$F$5=0,"",IF($C$4=$D$4,(IF(AND(Request!$U$4="Multi",Request!$T$4="FY"),ROUND(((1+Request!$O31)^(Worksheet!$B$20+2)*Worksheet!$F$9+(1+Request!$O31)^(Worksheet!$B$20+3)*Worksheet!$F$10)/Worksheet!$F$5*Request!$G31,0),(IF(AND(Request!$U$4="Multi",Request!$T$4="PY"),ROUND(Request!$G31*((1+Request!$O31)^3)/Worksheet!$F$5*Worksheet!$F$5,0),(IF(AND(Request!$U$4&lt;&gt;"Multi",Request!$T$4="FY"),ROUND(((1+Request!$U$4)^(Worksheet!$B$20+2)*Worksheet!$F$9+(1+Request!$U$4)^(Worksheet!$B$20+3)*Worksheet!$F$10)/Worksheet!$F$5*Request!$G31,0),ROUND(Request!$G31*((1+Request!$U$4)^3)/Worksheet!$F$5*Worksheet!$F$5,0))))))),(IF(AND(Request!$U$4="Multi",Request!$T$4="FY"),ROUND(((1+Request!$O31)^(Worksheet!$B$20+3)*Worksheet!$F$9+(1+Request!$O31)^(Worksheet!$B$20+4)*Worksheet!$F$10)/Worksheet!$F$5*Request!$G31,0),(IF(AND(Request!$U$4="Multi",Request!$T$4="PY"),ROUND(Request!$G31*((1+Request!$O31)^3)/Worksheet!$F$5*Worksheet!$F$5,0),(IF(AND(Request!$U$4&lt;&gt;"Multi",Request!$T$4="FY"),ROUND(((1+Request!$U$4)^(Worksheet!$B$20+3)*Worksheet!$F$9+(1+Request!$U$4)^(Worksheet!$B$20+4)*Worksheet!$F$10)/Worksheet!$F$5*Request!$G31,0),ROUND(Request!$G31*((1+Request!$U$4)^3)/Worksheet!$F$5*Worksheet!$F$5,0)))))))))</f>
        <v>110092</v>
      </c>
      <c r="S412" s="307"/>
      <c r="T412" s="307">
        <f ca="1">IF(Worksheet!$G$5=0,"",IF($C$4=$D$4,(IF(AND(Request!$U$4="Multi",Request!$T$4="FY"),ROUND(((1+Request!$O31)^(Worksheet!$B$20+3)*Worksheet!$G$9+(1+Request!$O31)^(Worksheet!$B$20+4)*Worksheet!$G$10)/Worksheet!$G$5*Request!$G31,0),(IF(AND(Request!$U$4="Multi",Request!$T$4="PY"),ROUND(Request!$G31*((1+Request!$O31)^4)/Worksheet!$G$5*Worksheet!$G$5,0),(IF(AND(Request!$U$4&lt;&gt;"Multi",Request!$T$4="FY"),ROUND(((1+Request!$U$4)^(Worksheet!$B$20+3)*Worksheet!$G$9+(1+Request!$U$4)^(Worksheet!$B$20+4)*Worksheet!$G$10)/Worksheet!$G$5*Request!$G31,0),ROUND(Request!$G31*((1+Request!$U$4)^4)/Worksheet!$G$5*Worksheet!$G$5,0))))))),(IF(AND(Request!$U$4="Multi",Request!$T$4="FY"),ROUND(((1+Request!$O31)^(Worksheet!$B$20+4)*Worksheet!$G$9+(1+Request!$O31)^(Worksheet!$B$20+5)*Worksheet!$G$10)/Worksheet!$G$5*Request!$G31,0),(IF(AND(Request!$U$4="Multi",Request!$T$4="PY"),ROUND(Request!$G31*((1+Request!$O31)^4)/Worksheet!$G$5*Worksheet!$G$5,0),(IF(AND(Request!$U$4&lt;&gt;"Multi",Request!$T$4="FY"),ROUND(((1+Request!$U$4)^(Worksheet!$B$20+4)*Worksheet!$G$9+(1+Request!$U$4)^(Worksheet!$B$20+5)*Worksheet!$G$10)/Worksheet!$G$5*Request!$G31,0),ROUND(Request!$G31*((1+Request!$U$4)^4)/Worksheet!$G$5*Worksheet!$G$5,0)))))))))</f>
        <v>113395</v>
      </c>
      <c r="U412" s="307"/>
    </row>
    <row r="413" spans="1:21" x14ac:dyDescent="0.2">
      <c r="L413" s="308"/>
      <c r="M413" s="309"/>
      <c r="N413" s="309"/>
      <c r="O413" s="309"/>
      <c r="P413" s="309"/>
      <c r="Q413" s="309"/>
      <c r="R413" s="309"/>
      <c r="S413" s="309"/>
      <c r="T413" s="309"/>
      <c r="U413" s="309"/>
    </row>
    <row r="414" spans="1:21" x14ac:dyDescent="0.2">
      <c r="A414" s="69" t="s">
        <v>159</v>
      </c>
      <c r="B414" s="310" t="s">
        <v>113</v>
      </c>
      <c r="C414" s="310"/>
      <c r="D414" s="310" t="s">
        <v>114</v>
      </c>
      <c r="E414" s="310"/>
      <c r="F414" s="310" t="s">
        <v>115</v>
      </c>
      <c r="G414" s="310"/>
      <c r="H414" s="310" t="s">
        <v>118</v>
      </c>
      <c r="I414" s="310"/>
      <c r="J414" s="310" t="s">
        <v>116</v>
      </c>
      <c r="K414" s="310"/>
      <c r="L414" s="305"/>
      <c r="M414" s="306"/>
      <c r="N414" s="306"/>
      <c r="O414" s="306"/>
      <c r="P414" s="306"/>
      <c r="Q414" s="306"/>
      <c r="R414" s="306"/>
      <c r="S414" s="306"/>
      <c r="T414" s="306"/>
      <c r="U414" s="306"/>
    </row>
    <row r="415" spans="1:21" x14ac:dyDescent="0.2">
      <c r="A415" s="71"/>
      <c r="B415" s="331">
        <f ca="1">B389</f>
        <v>134625</v>
      </c>
      <c r="C415" s="330"/>
      <c r="D415" s="331">
        <f ca="1">D389</f>
        <v>138664</v>
      </c>
      <c r="E415" s="330"/>
      <c r="F415" s="331">
        <f ca="1">F389</f>
        <v>142824</v>
      </c>
      <c r="G415" s="330"/>
      <c r="H415" s="331">
        <f ca="1">H389</f>
        <v>147109</v>
      </c>
      <c r="I415" s="330"/>
      <c r="J415" s="331">
        <f ca="1">J389</f>
        <v>151522</v>
      </c>
      <c r="K415" s="330"/>
      <c r="L415" s="305"/>
      <c r="M415" s="306"/>
      <c r="N415" s="306"/>
      <c r="O415" s="306"/>
      <c r="P415" s="306"/>
      <c r="Q415" s="306"/>
      <c r="R415" s="306"/>
      <c r="S415" s="306"/>
      <c r="T415" s="306"/>
      <c r="U415" s="306"/>
    </row>
    <row r="416" spans="1:21" x14ac:dyDescent="0.2">
      <c r="A416" s="71"/>
      <c r="B416" s="331">
        <f t="shared" ref="B416:B438" ca="1" si="51">B390</f>
        <v>134625</v>
      </c>
      <c r="C416" s="330"/>
      <c r="D416" s="331">
        <f t="shared" ref="D416:D438" ca="1" si="52">D390</f>
        <v>138664</v>
      </c>
      <c r="E416" s="330"/>
      <c r="F416" s="331">
        <f t="shared" ref="F416:F438" ca="1" si="53">F390</f>
        <v>142824</v>
      </c>
      <c r="G416" s="330"/>
      <c r="H416" s="331">
        <f t="shared" ref="H416:H438" ca="1" si="54">H390</f>
        <v>147109</v>
      </c>
      <c r="I416" s="330"/>
      <c r="J416" s="331">
        <f t="shared" ref="J416:J438" ca="1" si="55">J390</f>
        <v>151522</v>
      </c>
      <c r="K416" s="330"/>
      <c r="L416" s="305"/>
      <c r="M416" s="306"/>
      <c r="N416" s="306"/>
      <c r="O416" s="306"/>
      <c r="P416" s="306"/>
      <c r="Q416" s="306"/>
      <c r="R416" s="306"/>
      <c r="S416" s="306"/>
      <c r="T416" s="306"/>
      <c r="U416" s="306"/>
    </row>
    <row r="417" spans="1:21" x14ac:dyDescent="0.2">
      <c r="A417" s="71"/>
      <c r="B417" s="331">
        <f t="shared" ca="1" si="51"/>
        <v>0</v>
      </c>
      <c r="C417" s="330"/>
      <c r="D417" s="331">
        <f t="shared" ca="1" si="52"/>
        <v>0</v>
      </c>
      <c r="E417" s="330"/>
      <c r="F417" s="331">
        <f t="shared" ca="1" si="53"/>
        <v>0</v>
      </c>
      <c r="G417" s="330"/>
      <c r="H417" s="331">
        <f t="shared" ca="1" si="54"/>
        <v>0</v>
      </c>
      <c r="I417" s="330"/>
      <c r="J417" s="331">
        <f t="shared" ca="1" si="55"/>
        <v>0</v>
      </c>
      <c r="K417" s="330"/>
      <c r="L417" s="305"/>
      <c r="M417" s="306"/>
      <c r="N417" s="306"/>
      <c r="O417" s="306"/>
      <c r="P417" s="306"/>
      <c r="Q417" s="306"/>
      <c r="R417" s="306"/>
      <c r="S417" s="306"/>
      <c r="T417" s="306"/>
      <c r="U417" s="306"/>
    </row>
    <row r="418" spans="1:21" x14ac:dyDescent="0.2">
      <c r="A418" s="71"/>
      <c r="B418" s="331">
        <f t="shared" ca="1" si="51"/>
        <v>0</v>
      </c>
      <c r="C418" s="330"/>
      <c r="D418" s="331">
        <f t="shared" ca="1" si="52"/>
        <v>0</v>
      </c>
      <c r="E418" s="330"/>
      <c r="F418" s="331">
        <f t="shared" ca="1" si="53"/>
        <v>0</v>
      </c>
      <c r="G418" s="330"/>
      <c r="H418" s="331">
        <f t="shared" ca="1" si="54"/>
        <v>0</v>
      </c>
      <c r="I418" s="330"/>
      <c r="J418" s="331">
        <f t="shared" ca="1" si="55"/>
        <v>0</v>
      </c>
      <c r="K418" s="330"/>
      <c r="L418" s="305"/>
      <c r="M418" s="306"/>
      <c r="N418" s="306"/>
      <c r="O418" s="306"/>
      <c r="P418" s="306"/>
      <c r="Q418" s="306"/>
      <c r="R418" s="306"/>
      <c r="S418" s="306"/>
      <c r="T418" s="306"/>
      <c r="U418" s="306"/>
    </row>
    <row r="419" spans="1:21" x14ac:dyDescent="0.2">
      <c r="A419" s="71"/>
      <c r="B419" s="331">
        <f t="shared" ca="1" si="51"/>
        <v>0</v>
      </c>
      <c r="C419" s="330"/>
      <c r="D419" s="331">
        <f t="shared" ca="1" si="52"/>
        <v>0</v>
      </c>
      <c r="E419" s="330"/>
      <c r="F419" s="331">
        <f t="shared" ca="1" si="53"/>
        <v>0</v>
      </c>
      <c r="G419" s="330"/>
      <c r="H419" s="331">
        <f t="shared" ca="1" si="54"/>
        <v>0</v>
      </c>
      <c r="I419" s="330"/>
      <c r="J419" s="331">
        <f t="shared" ca="1" si="55"/>
        <v>0</v>
      </c>
      <c r="K419" s="330"/>
      <c r="L419" s="305"/>
      <c r="M419" s="306"/>
      <c r="N419" s="306"/>
      <c r="O419" s="306"/>
      <c r="P419" s="306"/>
      <c r="Q419" s="306"/>
      <c r="R419" s="306"/>
      <c r="S419" s="306"/>
      <c r="T419" s="306"/>
      <c r="U419" s="306"/>
    </row>
    <row r="420" spans="1:21" x14ac:dyDescent="0.2">
      <c r="A420" s="71"/>
      <c r="B420" s="331">
        <f t="shared" ca="1" si="51"/>
        <v>0</v>
      </c>
      <c r="C420" s="330"/>
      <c r="D420" s="331">
        <f t="shared" ca="1" si="52"/>
        <v>0</v>
      </c>
      <c r="E420" s="330"/>
      <c r="F420" s="331">
        <f t="shared" ca="1" si="53"/>
        <v>0</v>
      </c>
      <c r="G420" s="330"/>
      <c r="H420" s="331">
        <f t="shared" ca="1" si="54"/>
        <v>0</v>
      </c>
      <c r="I420" s="330"/>
      <c r="J420" s="331">
        <f t="shared" ca="1" si="55"/>
        <v>0</v>
      </c>
      <c r="K420" s="330"/>
      <c r="L420" s="305"/>
      <c r="M420" s="306"/>
      <c r="N420" s="306"/>
      <c r="O420" s="306"/>
      <c r="P420" s="306"/>
      <c r="Q420" s="306"/>
      <c r="R420" s="306"/>
      <c r="S420" s="306"/>
      <c r="T420" s="306"/>
      <c r="U420" s="306"/>
    </row>
    <row r="421" spans="1:21" x14ac:dyDescent="0.2">
      <c r="A421" s="71"/>
      <c r="B421" s="331">
        <f t="shared" ca="1" si="51"/>
        <v>0</v>
      </c>
      <c r="C421" s="330"/>
      <c r="D421" s="331">
        <f t="shared" ca="1" si="52"/>
        <v>0</v>
      </c>
      <c r="E421" s="330"/>
      <c r="F421" s="331">
        <f t="shared" ca="1" si="53"/>
        <v>0</v>
      </c>
      <c r="G421" s="330"/>
      <c r="H421" s="331">
        <f t="shared" ca="1" si="54"/>
        <v>0</v>
      </c>
      <c r="I421" s="330"/>
      <c r="J421" s="331">
        <f t="shared" ca="1" si="55"/>
        <v>0</v>
      </c>
      <c r="K421" s="330"/>
      <c r="L421" s="305"/>
      <c r="M421" s="306"/>
      <c r="N421" s="306"/>
      <c r="O421" s="306"/>
      <c r="P421" s="306"/>
      <c r="Q421" s="306"/>
      <c r="R421" s="306"/>
      <c r="S421" s="306"/>
      <c r="T421" s="306"/>
      <c r="U421" s="306"/>
    </row>
    <row r="422" spans="1:21" x14ac:dyDescent="0.2">
      <c r="A422" s="71"/>
      <c r="B422" s="331">
        <f t="shared" ca="1" si="51"/>
        <v>0</v>
      </c>
      <c r="C422" s="330"/>
      <c r="D422" s="331">
        <f t="shared" ca="1" si="52"/>
        <v>0</v>
      </c>
      <c r="E422" s="330"/>
      <c r="F422" s="331">
        <f t="shared" ca="1" si="53"/>
        <v>0</v>
      </c>
      <c r="G422" s="330"/>
      <c r="H422" s="331">
        <f t="shared" ca="1" si="54"/>
        <v>0</v>
      </c>
      <c r="I422" s="330"/>
      <c r="J422" s="331">
        <f t="shared" ca="1" si="55"/>
        <v>0</v>
      </c>
      <c r="K422" s="330"/>
      <c r="L422" s="305"/>
      <c r="M422" s="306"/>
      <c r="N422" s="306"/>
      <c r="O422" s="306"/>
      <c r="P422" s="306"/>
      <c r="Q422" s="306"/>
      <c r="R422" s="306"/>
      <c r="S422" s="306"/>
      <c r="T422" s="306"/>
      <c r="U422" s="306"/>
    </row>
    <row r="423" spans="1:21" x14ac:dyDescent="0.2">
      <c r="A423" s="71"/>
      <c r="B423" s="331">
        <f t="shared" ca="1" si="51"/>
        <v>0</v>
      </c>
      <c r="C423" s="330"/>
      <c r="D423" s="331">
        <f t="shared" ca="1" si="52"/>
        <v>0</v>
      </c>
      <c r="E423" s="330"/>
      <c r="F423" s="331">
        <f t="shared" ca="1" si="53"/>
        <v>0</v>
      </c>
      <c r="G423" s="330"/>
      <c r="H423" s="331">
        <f t="shared" ca="1" si="54"/>
        <v>0</v>
      </c>
      <c r="I423" s="330"/>
      <c r="J423" s="331">
        <f t="shared" ca="1" si="55"/>
        <v>0</v>
      </c>
      <c r="K423" s="330"/>
      <c r="L423" s="305"/>
      <c r="M423" s="306"/>
      <c r="N423" s="306"/>
      <c r="O423" s="306"/>
      <c r="P423" s="306"/>
      <c r="Q423" s="306"/>
      <c r="R423" s="306"/>
      <c r="S423" s="306"/>
      <c r="T423" s="306"/>
      <c r="U423" s="306"/>
    </row>
    <row r="424" spans="1:21" x14ac:dyDescent="0.2">
      <c r="A424" s="71"/>
      <c r="B424" s="331">
        <f t="shared" ca="1" si="51"/>
        <v>0</v>
      </c>
      <c r="C424" s="330"/>
      <c r="D424" s="331">
        <f t="shared" ca="1" si="52"/>
        <v>0</v>
      </c>
      <c r="E424" s="330"/>
      <c r="F424" s="331">
        <f t="shared" ca="1" si="53"/>
        <v>0</v>
      </c>
      <c r="G424" s="330"/>
      <c r="H424" s="331">
        <f t="shared" ca="1" si="54"/>
        <v>0</v>
      </c>
      <c r="I424" s="330"/>
      <c r="J424" s="331">
        <f t="shared" ca="1" si="55"/>
        <v>0</v>
      </c>
      <c r="K424" s="330"/>
      <c r="L424" s="270"/>
      <c r="M424" s="20"/>
      <c r="N424" s="20"/>
      <c r="O424" s="20"/>
      <c r="P424" s="20"/>
      <c r="Q424" s="20"/>
      <c r="R424" s="20"/>
      <c r="S424" s="20"/>
      <c r="T424" s="20"/>
      <c r="U424" s="20"/>
    </row>
    <row r="425" spans="1:21" x14ac:dyDescent="0.2">
      <c r="A425" s="71"/>
      <c r="B425" s="331">
        <f t="shared" ca="1" si="51"/>
        <v>0</v>
      </c>
      <c r="C425" s="330"/>
      <c r="D425" s="331">
        <f t="shared" ca="1" si="52"/>
        <v>0</v>
      </c>
      <c r="E425" s="330"/>
      <c r="F425" s="331">
        <f t="shared" ca="1" si="53"/>
        <v>0</v>
      </c>
      <c r="G425" s="330"/>
      <c r="H425" s="331">
        <f t="shared" ca="1" si="54"/>
        <v>0</v>
      </c>
      <c r="I425" s="330"/>
      <c r="J425" s="331">
        <f t="shared" ca="1" si="55"/>
        <v>0</v>
      </c>
      <c r="K425" s="330"/>
      <c r="L425" s="270"/>
      <c r="M425" s="20"/>
      <c r="N425" s="20"/>
      <c r="O425" s="20"/>
      <c r="P425" s="20"/>
      <c r="Q425" s="20"/>
      <c r="R425" s="20"/>
      <c r="S425" s="20"/>
      <c r="T425" s="20"/>
      <c r="U425" s="20"/>
    </row>
    <row r="426" spans="1:21" x14ac:dyDescent="0.2">
      <c r="A426" s="71"/>
      <c r="B426" s="331">
        <f t="shared" ca="1" si="51"/>
        <v>0</v>
      </c>
      <c r="C426" s="330"/>
      <c r="D426" s="331">
        <f t="shared" ca="1" si="52"/>
        <v>0</v>
      </c>
      <c r="E426" s="330"/>
      <c r="F426" s="331">
        <f t="shared" ca="1" si="53"/>
        <v>0</v>
      </c>
      <c r="G426" s="330"/>
      <c r="H426" s="331">
        <f t="shared" ca="1" si="54"/>
        <v>0</v>
      </c>
      <c r="I426" s="330"/>
      <c r="J426" s="331">
        <f t="shared" ca="1" si="55"/>
        <v>0</v>
      </c>
      <c r="K426" s="330"/>
    </row>
    <row r="427" spans="1:21" x14ac:dyDescent="0.2">
      <c r="A427" s="71"/>
      <c r="B427" s="331">
        <f t="shared" ca="1" si="51"/>
        <v>100750</v>
      </c>
      <c r="C427" s="330"/>
      <c r="D427" s="331">
        <f t="shared" ca="1" si="52"/>
        <v>103773</v>
      </c>
      <c r="E427" s="330"/>
      <c r="F427" s="331">
        <f t="shared" ca="1" si="53"/>
        <v>106886</v>
      </c>
      <c r="G427" s="330"/>
      <c r="H427" s="331">
        <f t="shared" ca="1" si="54"/>
        <v>110092</v>
      </c>
      <c r="I427" s="330"/>
      <c r="J427" s="331">
        <f t="shared" ca="1" si="55"/>
        <v>113395</v>
      </c>
      <c r="K427" s="330"/>
    </row>
    <row r="428" spans="1:21" x14ac:dyDescent="0.2">
      <c r="A428" s="71"/>
      <c r="B428" s="331">
        <f t="shared" ca="1" si="51"/>
        <v>100750</v>
      </c>
      <c r="C428" s="330"/>
      <c r="D428" s="331">
        <f t="shared" ca="1" si="52"/>
        <v>103773</v>
      </c>
      <c r="E428" s="330"/>
      <c r="F428" s="331">
        <f t="shared" ca="1" si="53"/>
        <v>106886</v>
      </c>
      <c r="G428" s="330"/>
      <c r="H428" s="331">
        <f t="shared" ca="1" si="54"/>
        <v>110092</v>
      </c>
      <c r="I428" s="330"/>
      <c r="J428" s="331">
        <f t="shared" ca="1" si="55"/>
        <v>113395</v>
      </c>
      <c r="K428" s="330"/>
    </row>
    <row r="429" spans="1:21" x14ac:dyDescent="0.2">
      <c r="A429" s="71"/>
      <c r="B429" s="331">
        <f t="shared" ca="1" si="51"/>
        <v>100750</v>
      </c>
      <c r="C429" s="330"/>
      <c r="D429" s="331">
        <f t="shared" ca="1" si="52"/>
        <v>103773</v>
      </c>
      <c r="E429" s="330"/>
      <c r="F429" s="331">
        <f t="shared" ca="1" si="53"/>
        <v>106886</v>
      </c>
      <c r="G429" s="330"/>
      <c r="H429" s="331">
        <f t="shared" ca="1" si="54"/>
        <v>110092</v>
      </c>
      <c r="I429" s="330"/>
      <c r="J429" s="331">
        <f t="shared" ca="1" si="55"/>
        <v>113395</v>
      </c>
      <c r="K429" s="330"/>
    </row>
    <row r="430" spans="1:21" x14ac:dyDescent="0.2">
      <c r="A430" s="71"/>
      <c r="B430" s="331">
        <f t="shared" ca="1" si="51"/>
        <v>100750</v>
      </c>
      <c r="C430" s="330"/>
      <c r="D430" s="331">
        <f t="shared" ca="1" si="52"/>
        <v>103773</v>
      </c>
      <c r="E430" s="330"/>
      <c r="F430" s="331">
        <f t="shared" ca="1" si="53"/>
        <v>106886</v>
      </c>
      <c r="G430" s="330"/>
      <c r="H430" s="331">
        <f t="shared" ca="1" si="54"/>
        <v>110092</v>
      </c>
      <c r="I430" s="330"/>
      <c r="J430" s="331">
        <f t="shared" ca="1" si="55"/>
        <v>113395</v>
      </c>
      <c r="K430" s="330"/>
    </row>
    <row r="431" spans="1:21" x14ac:dyDescent="0.2">
      <c r="A431" s="71"/>
      <c r="B431" s="331">
        <f t="shared" ca="1" si="51"/>
        <v>100750</v>
      </c>
      <c r="C431" s="330"/>
      <c r="D431" s="331">
        <f t="shared" ca="1" si="52"/>
        <v>103773</v>
      </c>
      <c r="E431" s="330"/>
      <c r="F431" s="331">
        <f t="shared" ca="1" si="53"/>
        <v>106886</v>
      </c>
      <c r="G431" s="330"/>
      <c r="H431" s="331">
        <f t="shared" ca="1" si="54"/>
        <v>110092</v>
      </c>
      <c r="I431" s="330"/>
      <c r="J431" s="331">
        <f t="shared" ca="1" si="55"/>
        <v>113395</v>
      </c>
      <c r="K431" s="330"/>
    </row>
    <row r="432" spans="1:21" x14ac:dyDescent="0.2">
      <c r="A432" s="71"/>
      <c r="B432" s="331">
        <f t="shared" ca="1" si="51"/>
        <v>100750</v>
      </c>
      <c r="C432" s="330"/>
      <c r="D432" s="331">
        <f t="shared" ca="1" si="52"/>
        <v>103773</v>
      </c>
      <c r="E432" s="330"/>
      <c r="F432" s="331">
        <f t="shared" ca="1" si="53"/>
        <v>106886</v>
      </c>
      <c r="G432" s="330"/>
      <c r="H432" s="331">
        <f t="shared" ca="1" si="54"/>
        <v>110092</v>
      </c>
      <c r="I432" s="330"/>
      <c r="J432" s="331">
        <f t="shared" ca="1" si="55"/>
        <v>113395</v>
      </c>
      <c r="K432" s="330"/>
    </row>
    <row r="433" spans="1:11" x14ac:dyDescent="0.2">
      <c r="A433" s="71"/>
      <c r="B433" s="331">
        <f t="shared" ca="1" si="51"/>
        <v>100750</v>
      </c>
      <c r="C433" s="330"/>
      <c r="D433" s="331">
        <f t="shared" ca="1" si="52"/>
        <v>103773</v>
      </c>
      <c r="E433" s="330"/>
      <c r="F433" s="331">
        <f t="shared" ca="1" si="53"/>
        <v>106886</v>
      </c>
      <c r="G433" s="330"/>
      <c r="H433" s="331">
        <f t="shared" ca="1" si="54"/>
        <v>110092</v>
      </c>
      <c r="I433" s="330"/>
      <c r="J433" s="331">
        <f t="shared" ca="1" si="55"/>
        <v>113395</v>
      </c>
      <c r="K433" s="330"/>
    </row>
    <row r="434" spans="1:11" x14ac:dyDescent="0.2">
      <c r="A434" s="71"/>
      <c r="B434" s="331">
        <f t="shared" ca="1" si="51"/>
        <v>100750</v>
      </c>
      <c r="C434" s="330"/>
      <c r="D434" s="331">
        <f t="shared" ca="1" si="52"/>
        <v>103773</v>
      </c>
      <c r="E434" s="330"/>
      <c r="F434" s="331">
        <f t="shared" ca="1" si="53"/>
        <v>106886</v>
      </c>
      <c r="G434" s="330"/>
      <c r="H434" s="331">
        <f t="shared" ca="1" si="54"/>
        <v>110092</v>
      </c>
      <c r="I434" s="330"/>
      <c r="J434" s="331">
        <f t="shared" ca="1" si="55"/>
        <v>113395</v>
      </c>
      <c r="K434" s="330"/>
    </row>
    <row r="435" spans="1:11" x14ac:dyDescent="0.2">
      <c r="A435" s="71"/>
      <c r="B435" s="331">
        <f t="shared" ca="1" si="51"/>
        <v>100750</v>
      </c>
      <c r="C435" s="330"/>
      <c r="D435" s="331">
        <f t="shared" ca="1" si="52"/>
        <v>103773</v>
      </c>
      <c r="E435" s="330"/>
      <c r="F435" s="331">
        <f t="shared" ca="1" si="53"/>
        <v>106886</v>
      </c>
      <c r="G435" s="330"/>
      <c r="H435" s="331">
        <f t="shared" ca="1" si="54"/>
        <v>110092</v>
      </c>
      <c r="I435" s="330"/>
      <c r="J435" s="331">
        <f t="shared" ca="1" si="55"/>
        <v>113395</v>
      </c>
      <c r="K435" s="330"/>
    </row>
    <row r="436" spans="1:11" x14ac:dyDescent="0.2">
      <c r="A436" s="71"/>
      <c r="B436" s="331">
        <f t="shared" ca="1" si="51"/>
        <v>100750</v>
      </c>
      <c r="C436" s="330"/>
      <c r="D436" s="331">
        <f t="shared" ca="1" si="52"/>
        <v>103773</v>
      </c>
      <c r="E436" s="330"/>
      <c r="F436" s="331">
        <f t="shared" ca="1" si="53"/>
        <v>106886</v>
      </c>
      <c r="G436" s="330"/>
      <c r="H436" s="331">
        <f t="shared" ca="1" si="54"/>
        <v>110092</v>
      </c>
      <c r="I436" s="330"/>
      <c r="J436" s="331">
        <f t="shared" ca="1" si="55"/>
        <v>113395</v>
      </c>
      <c r="K436" s="330"/>
    </row>
    <row r="437" spans="1:11" x14ac:dyDescent="0.2">
      <c r="A437" s="71"/>
      <c r="B437" s="331">
        <f t="shared" ca="1" si="51"/>
        <v>100750</v>
      </c>
      <c r="C437" s="330"/>
      <c r="D437" s="331">
        <f t="shared" ca="1" si="52"/>
        <v>103773</v>
      </c>
      <c r="E437" s="330"/>
      <c r="F437" s="331">
        <f t="shared" ca="1" si="53"/>
        <v>106886</v>
      </c>
      <c r="G437" s="330"/>
      <c r="H437" s="331">
        <f t="shared" ca="1" si="54"/>
        <v>110092</v>
      </c>
      <c r="I437" s="330"/>
      <c r="J437" s="331">
        <f t="shared" ca="1" si="55"/>
        <v>113395</v>
      </c>
      <c r="K437" s="330"/>
    </row>
    <row r="438" spans="1:11" x14ac:dyDescent="0.2">
      <c r="A438" s="71"/>
      <c r="B438" s="331">
        <f t="shared" ca="1" si="51"/>
        <v>100750</v>
      </c>
      <c r="C438" s="330"/>
      <c r="D438" s="331">
        <f t="shared" ca="1" si="52"/>
        <v>103773</v>
      </c>
      <c r="E438" s="330"/>
      <c r="F438" s="331">
        <f t="shared" ca="1" si="53"/>
        <v>106886</v>
      </c>
      <c r="G438" s="330"/>
      <c r="H438" s="331">
        <f t="shared" ca="1" si="54"/>
        <v>110092</v>
      </c>
      <c r="I438" s="330"/>
      <c r="J438" s="331">
        <f t="shared" ca="1" si="55"/>
        <v>113395</v>
      </c>
      <c r="K438" s="330"/>
    </row>
    <row r="440" spans="1:11" x14ac:dyDescent="0.2">
      <c r="A440" s="69" t="s">
        <v>158</v>
      </c>
      <c r="B440" s="310" t="s">
        <v>113</v>
      </c>
      <c r="C440" s="310"/>
      <c r="D440" s="310" t="s">
        <v>114</v>
      </c>
      <c r="E440" s="310"/>
      <c r="F440" s="310" t="s">
        <v>115</v>
      </c>
      <c r="G440" s="310"/>
      <c r="H440" s="310" t="s">
        <v>118</v>
      </c>
      <c r="I440" s="310"/>
      <c r="J440" s="310" t="s">
        <v>116</v>
      </c>
      <c r="K440" s="310"/>
    </row>
    <row r="441" spans="1:11" x14ac:dyDescent="0.2">
      <c r="A441" s="71"/>
      <c r="B441" s="331">
        <f ca="1">B389</f>
        <v>134625</v>
      </c>
      <c r="C441" s="330"/>
      <c r="D441" s="331">
        <f ca="1">D389</f>
        <v>138664</v>
      </c>
      <c r="E441" s="330"/>
      <c r="F441" s="331">
        <f t="shared" ref="F441:F464" ca="1" si="56">F389</f>
        <v>142824</v>
      </c>
      <c r="G441" s="330"/>
      <c r="H441" s="331">
        <f t="shared" ref="H441:H464" ca="1" si="57">H389</f>
        <v>147109</v>
      </c>
      <c r="I441" s="330"/>
      <c r="J441" s="331">
        <f t="shared" ref="J441:J464" ca="1" si="58">J389</f>
        <v>151522</v>
      </c>
      <c r="K441" s="330"/>
    </row>
    <row r="442" spans="1:11" x14ac:dyDescent="0.2">
      <c r="A442" s="71"/>
      <c r="B442" s="331">
        <f t="shared" ref="B442:B464" ca="1" si="59">B390</f>
        <v>134625</v>
      </c>
      <c r="C442" s="330"/>
      <c r="D442" s="331">
        <f t="shared" ref="D442:D464" ca="1" si="60">D390</f>
        <v>138664</v>
      </c>
      <c r="E442" s="330"/>
      <c r="F442" s="331">
        <f t="shared" ca="1" si="56"/>
        <v>142824</v>
      </c>
      <c r="G442" s="330"/>
      <c r="H442" s="331">
        <f t="shared" ca="1" si="57"/>
        <v>147109</v>
      </c>
      <c r="I442" s="330"/>
      <c r="J442" s="331">
        <f t="shared" ca="1" si="58"/>
        <v>151522</v>
      </c>
      <c r="K442" s="330"/>
    </row>
    <row r="443" spans="1:11" x14ac:dyDescent="0.2">
      <c r="A443" s="71"/>
      <c r="B443" s="331">
        <f t="shared" ca="1" si="59"/>
        <v>0</v>
      </c>
      <c r="C443" s="330"/>
      <c r="D443" s="331">
        <f t="shared" ca="1" si="60"/>
        <v>0</v>
      </c>
      <c r="E443" s="330"/>
      <c r="F443" s="331">
        <f t="shared" ca="1" si="56"/>
        <v>0</v>
      </c>
      <c r="G443" s="330"/>
      <c r="H443" s="331">
        <f t="shared" ca="1" si="57"/>
        <v>0</v>
      </c>
      <c r="I443" s="330"/>
      <c r="J443" s="331">
        <f t="shared" ca="1" si="58"/>
        <v>0</v>
      </c>
      <c r="K443" s="330"/>
    </row>
    <row r="444" spans="1:11" x14ac:dyDescent="0.2">
      <c r="A444" s="71"/>
      <c r="B444" s="331">
        <f t="shared" ca="1" si="59"/>
        <v>0</v>
      </c>
      <c r="C444" s="330"/>
      <c r="D444" s="331">
        <f t="shared" ca="1" si="60"/>
        <v>0</v>
      </c>
      <c r="E444" s="330"/>
      <c r="F444" s="331">
        <f t="shared" ca="1" si="56"/>
        <v>0</v>
      </c>
      <c r="G444" s="330"/>
      <c r="H444" s="331">
        <f t="shared" ca="1" si="57"/>
        <v>0</v>
      </c>
      <c r="I444" s="330"/>
      <c r="J444" s="331">
        <f t="shared" ca="1" si="58"/>
        <v>0</v>
      </c>
      <c r="K444" s="330"/>
    </row>
    <row r="445" spans="1:11" x14ac:dyDescent="0.2">
      <c r="A445" s="71"/>
      <c r="B445" s="331">
        <f t="shared" ca="1" si="59"/>
        <v>0</v>
      </c>
      <c r="C445" s="330"/>
      <c r="D445" s="331">
        <f t="shared" ca="1" si="60"/>
        <v>0</v>
      </c>
      <c r="E445" s="330"/>
      <c r="F445" s="331">
        <f t="shared" ca="1" si="56"/>
        <v>0</v>
      </c>
      <c r="G445" s="330"/>
      <c r="H445" s="331">
        <f t="shared" ca="1" si="57"/>
        <v>0</v>
      </c>
      <c r="I445" s="330"/>
      <c r="J445" s="331">
        <f t="shared" ca="1" si="58"/>
        <v>0</v>
      </c>
      <c r="K445" s="330"/>
    </row>
    <row r="446" spans="1:11" x14ac:dyDescent="0.2">
      <c r="A446" s="71"/>
      <c r="B446" s="331">
        <f t="shared" ca="1" si="59"/>
        <v>0</v>
      </c>
      <c r="C446" s="330"/>
      <c r="D446" s="331">
        <f t="shared" ca="1" si="60"/>
        <v>0</v>
      </c>
      <c r="E446" s="330"/>
      <c r="F446" s="331">
        <f t="shared" ca="1" si="56"/>
        <v>0</v>
      </c>
      <c r="G446" s="330"/>
      <c r="H446" s="331">
        <f t="shared" ca="1" si="57"/>
        <v>0</v>
      </c>
      <c r="I446" s="330"/>
      <c r="J446" s="331">
        <f t="shared" ca="1" si="58"/>
        <v>0</v>
      </c>
      <c r="K446" s="330"/>
    </row>
    <row r="447" spans="1:11" x14ac:dyDescent="0.2">
      <c r="A447" s="71"/>
      <c r="B447" s="331">
        <f t="shared" ca="1" si="59"/>
        <v>0</v>
      </c>
      <c r="C447" s="330"/>
      <c r="D447" s="331">
        <f t="shared" ca="1" si="60"/>
        <v>0</v>
      </c>
      <c r="E447" s="330"/>
      <c r="F447" s="331">
        <f t="shared" ca="1" si="56"/>
        <v>0</v>
      </c>
      <c r="G447" s="330"/>
      <c r="H447" s="331">
        <f t="shared" ca="1" si="57"/>
        <v>0</v>
      </c>
      <c r="I447" s="330"/>
      <c r="J447" s="331">
        <f t="shared" ca="1" si="58"/>
        <v>0</v>
      </c>
      <c r="K447" s="330"/>
    </row>
    <row r="448" spans="1:11" x14ac:dyDescent="0.2">
      <c r="A448" s="71"/>
      <c r="B448" s="331">
        <f t="shared" ca="1" si="59"/>
        <v>0</v>
      </c>
      <c r="C448" s="330"/>
      <c r="D448" s="331">
        <f t="shared" ca="1" si="60"/>
        <v>0</v>
      </c>
      <c r="E448" s="330"/>
      <c r="F448" s="331">
        <f t="shared" ca="1" si="56"/>
        <v>0</v>
      </c>
      <c r="G448" s="330"/>
      <c r="H448" s="331">
        <f t="shared" ca="1" si="57"/>
        <v>0</v>
      </c>
      <c r="I448" s="330"/>
      <c r="J448" s="331">
        <f t="shared" ca="1" si="58"/>
        <v>0</v>
      </c>
      <c r="K448" s="330"/>
    </row>
    <row r="449" spans="1:11" x14ac:dyDescent="0.2">
      <c r="A449" s="71"/>
      <c r="B449" s="331">
        <f t="shared" ca="1" si="59"/>
        <v>0</v>
      </c>
      <c r="C449" s="330"/>
      <c r="D449" s="331">
        <f t="shared" ca="1" si="60"/>
        <v>0</v>
      </c>
      <c r="E449" s="330"/>
      <c r="F449" s="331">
        <f t="shared" ca="1" si="56"/>
        <v>0</v>
      </c>
      <c r="G449" s="330"/>
      <c r="H449" s="331">
        <f t="shared" ca="1" si="57"/>
        <v>0</v>
      </c>
      <c r="I449" s="330"/>
      <c r="J449" s="331">
        <f t="shared" ca="1" si="58"/>
        <v>0</v>
      </c>
      <c r="K449" s="330"/>
    </row>
    <row r="450" spans="1:11" x14ac:dyDescent="0.2">
      <c r="A450" s="71"/>
      <c r="B450" s="331">
        <f t="shared" ca="1" si="59"/>
        <v>0</v>
      </c>
      <c r="C450" s="330"/>
      <c r="D450" s="331">
        <f t="shared" ca="1" si="60"/>
        <v>0</v>
      </c>
      <c r="E450" s="330"/>
      <c r="F450" s="331">
        <f t="shared" ca="1" si="56"/>
        <v>0</v>
      </c>
      <c r="G450" s="330"/>
      <c r="H450" s="331">
        <f t="shared" ca="1" si="57"/>
        <v>0</v>
      </c>
      <c r="I450" s="330"/>
      <c r="J450" s="331">
        <f t="shared" ca="1" si="58"/>
        <v>0</v>
      </c>
      <c r="K450" s="330"/>
    </row>
    <row r="451" spans="1:11" x14ac:dyDescent="0.2">
      <c r="A451" s="71"/>
      <c r="B451" s="331">
        <f t="shared" ca="1" si="59"/>
        <v>0</v>
      </c>
      <c r="C451" s="330"/>
      <c r="D451" s="331">
        <f t="shared" ca="1" si="60"/>
        <v>0</v>
      </c>
      <c r="E451" s="330"/>
      <c r="F451" s="331">
        <f t="shared" ca="1" si="56"/>
        <v>0</v>
      </c>
      <c r="G451" s="330"/>
      <c r="H451" s="331">
        <f t="shared" ca="1" si="57"/>
        <v>0</v>
      </c>
      <c r="I451" s="330"/>
      <c r="J451" s="331">
        <f t="shared" ca="1" si="58"/>
        <v>0</v>
      </c>
      <c r="K451" s="330"/>
    </row>
    <row r="452" spans="1:11" x14ac:dyDescent="0.2">
      <c r="A452" s="71"/>
      <c r="B452" s="331">
        <f t="shared" ca="1" si="59"/>
        <v>0</v>
      </c>
      <c r="C452" s="330"/>
      <c r="D452" s="331">
        <f t="shared" ca="1" si="60"/>
        <v>0</v>
      </c>
      <c r="E452" s="330"/>
      <c r="F452" s="331">
        <f t="shared" ca="1" si="56"/>
        <v>0</v>
      </c>
      <c r="G452" s="330"/>
      <c r="H452" s="331">
        <f t="shared" ca="1" si="57"/>
        <v>0</v>
      </c>
      <c r="I452" s="330"/>
      <c r="J452" s="331">
        <f t="shared" ca="1" si="58"/>
        <v>0</v>
      </c>
      <c r="K452" s="330"/>
    </row>
    <row r="453" spans="1:11" x14ac:dyDescent="0.2">
      <c r="A453" s="71"/>
      <c r="B453" s="331">
        <f t="shared" ca="1" si="59"/>
        <v>100750</v>
      </c>
      <c r="C453" s="330"/>
      <c r="D453" s="331">
        <f t="shared" ca="1" si="60"/>
        <v>103773</v>
      </c>
      <c r="E453" s="330"/>
      <c r="F453" s="331">
        <f t="shared" ca="1" si="56"/>
        <v>106886</v>
      </c>
      <c r="G453" s="330"/>
      <c r="H453" s="331">
        <f t="shared" ca="1" si="57"/>
        <v>110092</v>
      </c>
      <c r="I453" s="330"/>
      <c r="J453" s="331">
        <f t="shared" ca="1" si="58"/>
        <v>113395</v>
      </c>
      <c r="K453" s="330"/>
    </row>
    <row r="454" spans="1:11" x14ac:dyDescent="0.2">
      <c r="A454" s="71"/>
      <c r="B454" s="331">
        <f t="shared" ca="1" si="59"/>
        <v>100750</v>
      </c>
      <c r="C454" s="330"/>
      <c r="D454" s="331">
        <f t="shared" ca="1" si="60"/>
        <v>103773</v>
      </c>
      <c r="E454" s="330"/>
      <c r="F454" s="331">
        <f t="shared" ca="1" si="56"/>
        <v>106886</v>
      </c>
      <c r="G454" s="330"/>
      <c r="H454" s="331">
        <f t="shared" ca="1" si="57"/>
        <v>110092</v>
      </c>
      <c r="I454" s="330"/>
      <c r="J454" s="331">
        <f t="shared" ca="1" si="58"/>
        <v>113395</v>
      </c>
      <c r="K454" s="330"/>
    </row>
    <row r="455" spans="1:11" x14ac:dyDescent="0.2">
      <c r="A455" s="71"/>
      <c r="B455" s="331">
        <f t="shared" ca="1" si="59"/>
        <v>100750</v>
      </c>
      <c r="C455" s="330"/>
      <c r="D455" s="331">
        <f t="shared" ca="1" si="60"/>
        <v>103773</v>
      </c>
      <c r="E455" s="330"/>
      <c r="F455" s="331">
        <f t="shared" ca="1" si="56"/>
        <v>106886</v>
      </c>
      <c r="G455" s="330"/>
      <c r="H455" s="331">
        <f t="shared" ca="1" si="57"/>
        <v>110092</v>
      </c>
      <c r="I455" s="330"/>
      <c r="J455" s="331">
        <f t="shared" ca="1" si="58"/>
        <v>113395</v>
      </c>
      <c r="K455" s="330"/>
    </row>
    <row r="456" spans="1:11" x14ac:dyDescent="0.2">
      <c r="A456" s="71"/>
      <c r="B456" s="331">
        <f t="shared" ca="1" si="59"/>
        <v>100750</v>
      </c>
      <c r="C456" s="330"/>
      <c r="D456" s="331">
        <f t="shared" ca="1" si="60"/>
        <v>103773</v>
      </c>
      <c r="E456" s="330"/>
      <c r="F456" s="331">
        <f t="shared" ca="1" si="56"/>
        <v>106886</v>
      </c>
      <c r="G456" s="330"/>
      <c r="H456" s="331">
        <f t="shared" ca="1" si="57"/>
        <v>110092</v>
      </c>
      <c r="I456" s="330"/>
      <c r="J456" s="331">
        <f t="shared" ca="1" si="58"/>
        <v>113395</v>
      </c>
      <c r="K456" s="330"/>
    </row>
    <row r="457" spans="1:11" x14ac:dyDescent="0.2">
      <c r="A457" s="71"/>
      <c r="B457" s="331">
        <f t="shared" ca="1" si="59"/>
        <v>100750</v>
      </c>
      <c r="C457" s="330"/>
      <c r="D457" s="331">
        <f t="shared" ca="1" si="60"/>
        <v>103773</v>
      </c>
      <c r="E457" s="330"/>
      <c r="F457" s="331">
        <f t="shared" ca="1" si="56"/>
        <v>106886</v>
      </c>
      <c r="G457" s="330"/>
      <c r="H457" s="331">
        <f t="shared" ca="1" si="57"/>
        <v>110092</v>
      </c>
      <c r="I457" s="330"/>
      <c r="J457" s="331">
        <f t="shared" ca="1" si="58"/>
        <v>113395</v>
      </c>
      <c r="K457" s="330"/>
    </row>
    <row r="458" spans="1:11" x14ac:dyDescent="0.2">
      <c r="A458" s="71"/>
      <c r="B458" s="331">
        <f t="shared" ca="1" si="59"/>
        <v>100750</v>
      </c>
      <c r="C458" s="330"/>
      <c r="D458" s="331">
        <f t="shared" ca="1" si="60"/>
        <v>103773</v>
      </c>
      <c r="E458" s="330"/>
      <c r="F458" s="331">
        <f t="shared" ca="1" si="56"/>
        <v>106886</v>
      </c>
      <c r="G458" s="330"/>
      <c r="H458" s="331">
        <f t="shared" ca="1" si="57"/>
        <v>110092</v>
      </c>
      <c r="I458" s="330"/>
      <c r="J458" s="331">
        <f t="shared" ca="1" si="58"/>
        <v>113395</v>
      </c>
      <c r="K458" s="330"/>
    </row>
    <row r="459" spans="1:11" x14ac:dyDescent="0.2">
      <c r="A459" s="71"/>
      <c r="B459" s="331">
        <f t="shared" ca="1" si="59"/>
        <v>100750</v>
      </c>
      <c r="C459" s="330"/>
      <c r="D459" s="331">
        <f t="shared" ca="1" si="60"/>
        <v>103773</v>
      </c>
      <c r="E459" s="330"/>
      <c r="F459" s="331">
        <f t="shared" ca="1" si="56"/>
        <v>106886</v>
      </c>
      <c r="G459" s="330"/>
      <c r="H459" s="331">
        <f t="shared" ca="1" si="57"/>
        <v>110092</v>
      </c>
      <c r="I459" s="330"/>
      <c r="J459" s="331">
        <f t="shared" ca="1" si="58"/>
        <v>113395</v>
      </c>
      <c r="K459" s="330"/>
    </row>
    <row r="460" spans="1:11" x14ac:dyDescent="0.2">
      <c r="A460" s="71"/>
      <c r="B460" s="331">
        <f t="shared" ca="1" si="59"/>
        <v>100750</v>
      </c>
      <c r="C460" s="330"/>
      <c r="D460" s="331">
        <f t="shared" ca="1" si="60"/>
        <v>103773</v>
      </c>
      <c r="E460" s="330"/>
      <c r="F460" s="331">
        <f t="shared" ca="1" si="56"/>
        <v>106886</v>
      </c>
      <c r="G460" s="330"/>
      <c r="H460" s="331">
        <f t="shared" ca="1" si="57"/>
        <v>110092</v>
      </c>
      <c r="I460" s="330"/>
      <c r="J460" s="331">
        <f t="shared" ca="1" si="58"/>
        <v>113395</v>
      </c>
      <c r="K460" s="330"/>
    </row>
    <row r="461" spans="1:11" x14ac:dyDescent="0.2">
      <c r="A461" s="71"/>
      <c r="B461" s="331">
        <f t="shared" ca="1" si="59"/>
        <v>100750</v>
      </c>
      <c r="C461" s="330"/>
      <c r="D461" s="331">
        <f t="shared" ca="1" si="60"/>
        <v>103773</v>
      </c>
      <c r="E461" s="330"/>
      <c r="F461" s="331">
        <f t="shared" ca="1" si="56"/>
        <v>106886</v>
      </c>
      <c r="G461" s="330"/>
      <c r="H461" s="331">
        <f t="shared" ca="1" si="57"/>
        <v>110092</v>
      </c>
      <c r="I461" s="330"/>
      <c r="J461" s="331">
        <f t="shared" ca="1" si="58"/>
        <v>113395</v>
      </c>
      <c r="K461" s="330"/>
    </row>
    <row r="462" spans="1:11" x14ac:dyDescent="0.2">
      <c r="A462" s="71"/>
      <c r="B462" s="331">
        <f t="shared" ca="1" si="59"/>
        <v>100750</v>
      </c>
      <c r="C462" s="330"/>
      <c r="D462" s="331">
        <f t="shared" ca="1" si="60"/>
        <v>103773</v>
      </c>
      <c r="E462" s="330"/>
      <c r="F462" s="331">
        <f t="shared" ca="1" si="56"/>
        <v>106886</v>
      </c>
      <c r="G462" s="330"/>
      <c r="H462" s="331">
        <f t="shared" ca="1" si="57"/>
        <v>110092</v>
      </c>
      <c r="I462" s="330"/>
      <c r="J462" s="331">
        <f t="shared" ca="1" si="58"/>
        <v>113395</v>
      </c>
      <c r="K462" s="330"/>
    </row>
    <row r="463" spans="1:11" x14ac:dyDescent="0.2">
      <c r="A463" s="71"/>
      <c r="B463" s="331">
        <f t="shared" ca="1" si="59"/>
        <v>100750</v>
      </c>
      <c r="C463" s="330"/>
      <c r="D463" s="331">
        <f t="shared" ca="1" si="60"/>
        <v>103773</v>
      </c>
      <c r="E463" s="330"/>
      <c r="F463" s="331">
        <f t="shared" ca="1" si="56"/>
        <v>106886</v>
      </c>
      <c r="G463" s="330"/>
      <c r="H463" s="331">
        <f t="shared" ca="1" si="57"/>
        <v>110092</v>
      </c>
      <c r="I463" s="330"/>
      <c r="J463" s="331">
        <f t="shared" ca="1" si="58"/>
        <v>113395</v>
      </c>
      <c r="K463" s="330"/>
    </row>
    <row r="464" spans="1:11" x14ac:dyDescent="0.2">
      <c r="A464" s="71"/>
      <c r="B464" s="331">
        <f t="shared" ca="1" si="59"/>
        <v>100750</v>
      </c>
      <c r="C464" s="330"/>
      <c r="D464" s="331">
        <f t="shared" ca="1" si="60"/>
        <v>103773</v>
      </c>
      <c r="E464" s="330"/>
      <c r="F464" s="331">
        <f t="shared" ca="1" si="56"/>
        <v>106886</v>
      </c>
      <c r="G464" s="330"/>
      <c r="H464" s="331">
        <f t="shared" ca="1" si="57"/>
        <v>110092</v>
      </c>
      <c r="I464" s="330"/>
      <c r="J464" s="331">
        <f t="shared" ca="1" si="58"/>
        <v>113395</v>
      </c>
      <c r="K464" s="330"/>
    </row>
    <row r="466" spans="1:3" x14ac:dyDescent="0.2">
      <c r="A466" s="4" t="s">
        <v>199</v>
      </c>
      <c r="B466" s="221" t="s">
        <v>191</v>
      </c>
      <c r="C466" s="221" t="s">
        <v>192</v>
      </c>
    </row>
    <row r="467" spans="1:3" x14ac:dyDescent="0.2">
      <c r="A467" s="4" t="s">
        <v>194</v>
      </c>
      <c r="B467" s="35">
        <v>1600</v>
      </c>
      <c r="C467" s="35">
        <v>2139</v>
      </c>
    </row>
    <row r="468" spans="1:3" x14ac:dyDescent="0.2">
      <c r="A468" s="4" t="s">
        <v>197</v>
      </c>
      <c r="B468" s="35">
        <v>1000</v>
      </c>
      <c r="C468" s="35">
        <v>1337</v>
      </c>
    </row>
    <row r="469" spans="1:3" x14ac:dyDescent="0.2">
      <c r="A469" s="4" t="s">
        <v>198</v>
      </c>
      <c r="B469" s="35">
        <v>800</v>
      </c>
      <c r="C469" s="35">
        <v>1070</v>
      </c>
    </row>
  </sheetData>
  <mergeCells count="858">
    <mergeCell ref="C16:G16"/>
    <mergeCell ref="B464:C464"/>
    <mergeCell ref="D464:E464"/>
    <mergeCell ref="F464:G464"/>
    <mergeCell ref="H464:I464"/>
    <mergeCell ref="J464:K464"/>
    <mergeCell ref="B462:C462"/>
    <mergeCell ref="D462:E462"/>
    <mergeCell ref="F462:G462"/>
    <mergeCell ref="H462:I462"/>
    <mergeCell ref="J462:K462"/>
    <mergeCell ref="B463:C463"/>
    <mergeCell ref="D463:E463"/>
    <mergeCell ref="F463:G463"/>
    <mergeCell ref="H463:I463"/>
    <mergeCell ref="J463:K463"/>
    <mergeCell ref="B460:C460"/>
    <mergeCell ref="D460:E460"/>
    <mergeCell ref="F460:G460"/>
    <mergeCell ref="H460:I460"/>
    <mergeCell ref="J460:K460"/>
    <mergeCell ref="B461:C461"/>
    <mergeCell ref="D461:E461"/>
    <mergeCell ref="F461:G461"/>
    <mergeCell ref="H461:I461"/>
    <mergeCell ref="J461:K461"/>
    <mergeCell ref="B458:C458"/>
    <mergeCell ref="D458:E458"/>
    <mergeCell ref="F458:G458"/>
    <mergeCell ref="H458:I458"/>
    <mergeCell ref="J458:K458"/>
    <mergeCell ref="B459:C459"/>
    <mergeCell ref="D459:E459"/>
    <mergeCell ref="F459:G459"/>
    <mergeCell ref="H459:I459"/>
    <mergeCell ref="J459:K459"/>
    <mergeCell ref="B456:C456"/>
    <mergeCell ref="D456:E456"/>
    <mergeCell ref="F456:G456"/>
    <mergeCell ref="H456:I456"/>
    <mergeCell ref="J456:K456"/>
    <mergeCell ref="B457:C457"/>
    <mergeCell ref="D457:E457"/>
    <mergeCell ref="F457:G457"/>
    <mergeCell ref="H457:I457"/>
    <mergeCell ref="J457:K457"/>
    <mergeCell ref="B454:C454"/>
    <mergeCell ref="D454:E454"/>
    <mergeCell ref="F454:G454"/>
    <mergeCell ref="H454:I454"/>
    <mergeCell ref="J454:K454"/>
    <mergeCell ref="B455:C455"/>
    <mergeCell ref="D455:E455"/>
    <mergeCell ref="F455:G455"/>
    <mergeCell ref="H455:I455"/>
    <mergeCell ref="J455:K455"/>
    <mergeCell ref="B452:C452"/>
    <mergeCell ref="D452:E452"/>
    <mergeCell ref="F452:G452"/>
    <mergeCell ref="H452:I452"/>
    <mergeCell ref="J452:K452"/>
    <mergeCell ref="B453:C453"/>
    <mergeCell ref="D453:E453"/>
    <mergeCell ref="F453:G453"/>
    <mergeCell ref="H453:I453"/>
    <mergeCell ref="J453:K453"/>
    <mergeCell ref="B450:C450"/>
    <mergeCell ref="D450:E450"/>
    <mergeCell ref="F450:G450"/>
    <mergeCell ref="H450:I450"/>
    <mergeCell ref="J450:K450"/>
    <mergeCell ref="B451:C451"/>
    <mergeCell ref="D451:E451"/>
    <mergeCell ref="F451:G451"/>
    <mergeCell ref="H451:I451"/>
    <mergeCell ref="J451:K451"/>
    <mergeCell ref="B448:C448"/>
    <mergeCell ref="D448:E448"/>
    <mergeCell ref="F448:G448"/>
    <mergeCell ref="H448:I448"/>
    <mergeCell ref="J448:K448"/>
    <mergeCell ref="B449:C449"/>
    <mergeCell ref="D449:E449"/>
    <mergeCell ref="F449:G449"/>
    <mergeCell ref="H449:I449"/>
    <mergeCell ref="J449:K449"/>
    <mergeCell ref="B446:C446"/>
    <mergeCell ref="D446:E446"/>
    <mergeCell ref="F446:G446"/>
    <mergeCell ref="H446:I446"/>
    <mergeCell ref="J446:K446"/>
    <mergeCell ref="B447:C447"/>
    <mergeCell ref="D447:E447"/>
    <mergeCell ref="F447:G447"/>
    <mergeCell ref="H447:I447"/>
    <mergeCell ref="J447:K447"/>
    <mergeCell ref="B444:C444"/>
    <mergeCell ref="D444:E444"/>
    <mergeCell ref="F444:G444"/>
    <mergeCell ref="H444:I444"/>
    <mergeCell ref="J444:K444"/>
    <mergeCell ref="B445:C445"/>
    <mergeCell ref="D445:E445"/>
    <mergeCell ref="F445:G445"/>
    <mergeCell ref="H445:I445"/>
    <mergeCell ref="J445:K445"/>
    <mergeCell ref="B442:C442"/>
    <mergeCell ref="D442:E442"/>
    <mergeCell ref="F442:G442"/>
    <mergeCell ref="H442:I442"/>
    <mergeCell ref="J442:K442"/>
    <mergeCell ref="B443:C443"/>
    <mergeCell ref="D443:E443"/>
    <mergeCell ref="F443:G443"/>
    <mergeCell ref="H443:I443"/>
    <mergeCell ref="J443:K443"/>
    <mergeCell ref="B440:C440"/>
    <mergeCell ref="D440:E440"/>
    <mergeCell ref="F440:G440"/>
    <mergeCell ref="H440:I440"/>
    <mergeCell ref="J440:K440"/>
    <mergeCell ref="B441:C441"/>
    <mergeCell ref="D441:E441"/>
    <mergeCell ref="F441:G441"/>
    <mergeCell ref="H441:I441"/>
    <mergeCell ref="J441:K441"/>
    <mergeCell ref="B437:C437"/>
    <mergeCell ref="D437:E437"/>
    <mergeCell ref="F437:G437"/>
    <mergeCell ref="H437:I437"/>
    <mergeCell ref="J437:K437"/>
    <mergeCell ref="B438:C438"/>
    <mergeCell ref="D438:E438"/>
    <mergeCell ref="F438:G438"/>
    <mergeCell ref="H438:I438"/>
    <mergeCell ref="J438:K438"/>
    <mergeCell ref="B435:C435"/>
    <mergeCell ref="D435:E435"/>
    <mergeCell ref="F435:G435"/>
    <mergeCell ref="H435:I435"/>
    <mergeCell ref="J435:K435"/>
    <mergeCell ref="B436:C436"/>
    <mergeCell ref="D436:E436"/>
    <mergeCell ref="F436:G436"/>
    <mergeCell ref="H436:I436"/>
    <mergeCell ref="J436:K436"/>
    <mergeCell ref="B433:C433"/>
    <mergeCell ref="D433:E433"/>
    <mergeCell ref="F433:G433"/>
    <mergeCell ref="H433:I433"/>
    <mergeCell ref="J433:K433"/>
    <mergeCell ref="B434:C434"/>
    <mergeCell ref="D434:E434"/>
    <mergeCell ref="F434:G434"/>
    <mergeCell ref="H434:I434"/>
    <mergeCell ref="J434:K434"/>
    <mergeCell ref="B431:C431"/>
    <mergeCell ref="D431:E431"/>
    <mergeCell ref="F431:G431"/>
    <mergeCell ref="H431:I431"/>
    <mergeCell ref="J431:K431"/>
    <mergeCell ref="B432:C432"/>
    <mergeCell ref="D432:E432"/>
    <mergeCell ref="F432:G432"/>
    <mergeCell ref="H432:I432"/>
    <mergeCell ref="J432:K432"/>
    <mergeCell ref="B429:C429"/>
    <mergeCell ref="D429:E429"/>
    <mergeCell ref="F429:G429"/>
    <mergeCell ref="H429:I429"/>
    <mergeCell ref="J429:K429"/>
    <mergeCell ref="B430:C430"/>
    <mergeCell ref="D430:E430"/>
    <mergeCell ref="F430:G430"/>
    <mergeCell ref="H430:I430"/>
    <mergeCell ref="J430:K430"/>
    <mergeCell ref="B427:C427"/>
    <mergeCell ref="D427:E427"/>
    <mergeCell ref="F427:G427"/>
    <mergeCell ref="H427:I427"/>
    <mergeCell ref="J427:K427"/>
    <mergeCell ref="B428:C428"/>
    <mergeCell ref="D428:E428"/>
    <mergeCell ref="F428:G428"/>
    <mergeCell ref="H428:I428"/>
    <mergeCell ref="J428:K428"/>
    <mergeCell ref="B425:C425"/>
    <mergeCell ref="D425:E425"/>
    <mergeCell ref="F425:G425"/>
    <mergeCell ref="H425:I425"/>
    <mergeCell ref="J425:K425"/>
    <mergeCell ref="B426:C426"/>
    <mergeCell ref="D426:E426"/>
    <mergeCell ref="F426:G426"/>
    <mergeCell ref="H426:I426"/>
    <mergeCell ref="J426:K426"/>
    <mergeCell ref="B423:C423"/>
    <mergeCell ref="D423:E423"/>
    <mergeCell ref="F423:G423"/>
    <mergeCell ref="H423:I423"/>
    <mergeCell ref="J423:K423"/>
    <mergeCell ref="B424:C424"/>
    <mergeCell ref="D424:E424"/>
    <mergeCell ref="F424:G424"/>
    <mergeCell ref="H424:I424"/>
    <mergeCell ref="J424:K424"/>
    <mergeCell ref="B421:C421"/>
    <mergeCell ref="D421:E421"/>
    <mergeCell ref="F421:G421"/>
    <mergeCell ref="H421:I421"/>
    <mergeCell ref="J421:K421"/>
    <mergeCell ref="B422:C422"/>
    <mergeCell ref="D422:E422"/>
    <mergeCell ref="F422:G422"/>
    <mergeCell ref="H422:I422"/>
    <mergeCell ref="J422:K422"/>
    <mergeCell ref="B419:C419"/>
    <mergeCell ref="D419:E419"/>
    <mergeCell ref="F419:G419"/>
    <mergeCell ref="H419:I419"/>
    <mergeCell ref="J419:K419"/>
    <mergeCell ref="B420:C420"/>
    <mergeCell ref="D420:E420"/>
    <mergeCell ref="F420:G420"/>
    <mergeCell ref="H420:I420"/>
    <mergeCell ref="J420:K420"/>
    <mergeCell ref="B417:C417"/>
    <mergeCell ref="D417:E417"/>
    <mergeCell ref="F417:G417"/>
    <mergeCell ref="H417:I417"/>
    <mergeCell ref="J417:K417"/>
    <mergeCell ref="B418:C418"/>
    <mergeCell ref="D418:E418"/>
    <mergeCell ref="F418:G418"/>
    <mergeCell ref="H418:I418"/>
    <mergeCell ref="J418:K418"/>
    <mergeCell ref="B415:C415"/>
    <mergeCell ref="D415:E415"/>
    <mergeCell ref="F415:G415"/>
    <mergeCell ref="H415:I415"/>
    <mergeCell ref="J415:K415"/>
    <mergeCell ref="B416:C416"/>
    <mergeCell ref="D416:E416"/>
    <mergeCell ref="F416:G416"/>
    <mergeCell ref="H416:I416"/>
    <mergeCell ref="J416:K416"/>
    <mergeCell ref="B412:C412"/>
    <mergeCell ref="D412:E412"/>
    <mergeCell ref="F412:G412"/>
    <mergeCell ref="H412:I412"/>
    <mergeCell ref="J412:K412"/>
    <mergeCell ref="B414:C414"/>
    <mergeCell ref="D414:E414"/>
    <mergeCell ref="F414:G414"/>
    <mergeCell ref="H414:I414"/>
    <mergeCell ref="J414:K414"/>
    <mergeCell ref="B410:C410"/>
    <mergeCell ref="D410:E410"/>
    <mergeCell ref="F410:G410"/>
    <mergeCell ref="H410:I410"/>
    <mergeCell ref="J410:K410"/>
    <mergeCell ref="B411:C411"/>
    <mergeCell ref="D411:E411"/>
    <mergeCell ref="F411:G411"/>
    <mergeCell ref="H411:I411"/>
    <mergeCell ref="J411:K411"/>
    <mergeCell ref="B408:C408"/>
    <mergeCell ref="D408:E408"/>
    <mergeCell ref="F408:G408"/>
    <mergeCell ref="H408:I408"/>
    <mergeCell ref="J408:K408"/>
    <mergeCell ref="B409:C409"/>
    <mergeCell ref="D409:E409"/>
    <mergeCell ref="F409:G409"/>
    <mergeCell ref="H409:I409"/>
    <mergeCell ref="J409:K409"/>
    <mergeCell ref="B406:C406"/>
    <mergeCell ref="D406:E406"/>
    <mergeCell ref="F406:G406"/>
    <mergeCell ref="H406:I406"/>
    <mergeCell ref="J406:K406"/>
    <mergeCell ref="B407:C407"/>
    <mergeCell ref="D407:E407"/>
    <mergeCell ref="F407:G407"/>
    <mergeCell ref="H407:I407"/>
    <mergeCell ref="J407:K407"/>
    <mergeCell ref="B404:C404"/>
    <mergeCell ref="D404:E404"/>
    <mergeCell ref="F404:G404"/>
    <mergeCell ref="H404:I404"/>
    <mergeCell ref="J404:K404"/>
    <mergeCell ref="B405:C405"/>
    <mergeCell ref="D405:E405"/>
    <mergeCell ref="F405:G405"/>
    <mergeCell ref="H405:I405"/>
    <mergeCell ref="J405:K405"/>
    <mergeCell ref="B402:C402"/>
    <mergeCell ref="D402:E402"/>
    <mergeCell ref="F402:G402"/>
    <mergeCell ref="H402:I402"/>
    <mergeCell ref="J402:K402"/>
    <mergeCell ref="B403:C403"/>
    <mergeCell ref="D403:E403"/>
    <mergeCell ref="F403:G403"/>
    <mergeCell ref="H403:I403"/>
    <mergeCell ref="J403:K403"/>
    <mergeCell ref="B400:C400"/>
    <mergeCell ref="D400:E400"/>
    <mergeCell ref="F400:G400"/>
    <mergeCell ref="H400:I400"/>
    <mergeCell ref="J400:K400"/>
    <mergeCell ref="B401:C401"/>
    <mergeCell ref="D401:E401"/>
    <mergeCell ref="F401:G401"/>
    <mergeCell ref="H401:I401"/>
    <mergeCell ref="J401:K401"/>
    <mergeCell ref="B398:C398"/>
    <mergeCell ref="D398:E398"/>
    <mergeCell ref="F398:G398"/>
    <mergeCell ref="H398:I398"/>
    <mergeCell ref="J398:K398"/>
    <mergeCell ref="B399:C399"/>
    <mergeCell ref="D399:E399"/>
    <mergeCell ref="F399:G399"/>
    <mergeCell ref="H399:I399"/>
    <mergeCell ref="J399:K399"/>
    <mergeCell ref="B396:C396"/>
    <mergeCell ref="D396:E396"/>
    <mergeCell ref="F396:G396"/>
    <mergeCell ref="H396:I396"/>
    <mergeCell ref="J396:K396"/>
    <mergeCell ref="B397:C397"/>
    <mergeCell ref="D397:E397"/>
    <mergeCell ref="F397:G397"/>
    <mergeCell ref="H397:I397"/>
    <mergeCell ref="J397:K397"/>
    <mergeCell ref="B394:C394"/>
    <mergeCell ref="D394:E394"/>
    <mergeCell ref="F394:G394"/>
    <mergeCell ref="H394:I394"/>
    <mergeCell ref="J394:K394"/>
    <mergeCell ref="B395:C395"/>
    <mergeCell ref="D395:E395"/>
    <mergeCell ref="F395:G395"/>
    <mergeCell ref="H395:I395"/>
    <mergeCell ref="J395:K395"/>
    <mergeCell ref="B392:C392"/>
    <mergeCell ref="D392:E392"/>
    <mergeCell ref="F392:G392"/>
    <mergeCell ref="H392:I392"/>
    <mergeCell ref="J392:K392"/>
    <mergeCell ref="B393:C393"/>
    <mergeCell ref="D393:E393"/>
    <mergeCell ref="F393:G393"/>
    <mergeCell ref="H393:I393"/>
    <mergeCell ref="J393:K393"/>
    <mergeCell ref="B390:C390"/>
    <mergeCell ref="D390:E390"/>
    <mergeCell ref="F390:G390"/>
    <mergeCell ref="H390:I390"/>
    <mergeCell ref="J390:K390"/>
    <mergeCell ref="B391:C391"/>
    <mergeCell ref="D391:E391"/>
    <mergeCell ref="F391:G391"/>
    <mergeCell ref="H391:I391"/>
    <mergeCell ref="J391:K391"/>
    <mergeCell ref="B388:C388"/>
    <mergeCell ref="D388:E388"/>
    <mergeCell ref="F388:G388"/>
    <mergeCell ref="H388:I388"/>
    <mergeCell ref="J388:K388"/>
    <mergeCell ref="B389:C389"/>
    <mergeCell ref="D389:E389"/>
    <mergeCell ref="F389:G389"/>
    <mergeCell ref="H389:I389"/>
    <mergeCell ref="J389:K389"/>
    <mergeCell ref="B383:C383"/>
    <mergeCell ref="D383:E383"/>
    <mergeCell ref="F383:G383"/>
    <mergeCell ref="H383:I383"/>
    <mergeCell ref="J383:K383"/>
    <mergeCell ref="B382:C382"/>
    <mergeCell ref="D382:E382"/>
    <mergeCell ref="F382:G382"/>
    <mergeCell ref="H382:I382"/>
    <mergeCell ref="J382:K382"/>
    <mergeCell ref="B385:C385"/>
    <mergeCell ref="D385:E385"/>
    <mergeCell ref="F385:G385"/>
    <mergeCell ref="H385:I385"/>
    <mergeCell ref="J385:K385"/>
    <mergeCell ref="B384:C384"/>
    <mergeCell ref="D384:E384"/>
    <mergeCell ref="F384:G384"/>
    <mergeCell ref="H384:I384"/>
    <mergeCell ref="J384:K384"/>
    <mergeCell ref="F381:G381"/>
    <mergeCell ref="H381:I381"/>
    <mergeCell ref="J381:K381"/>
    <mergeCell ref="B380:C380"/>
    <mergeCell ref="D380:E380"/>
    <mergeCell ref="F380:G380"/>
    <mergeCell ref="H380:I380"/>
    <mergeCell ref="J380:K380"/>
    <mergeCell ref="B379:C379"/>
    <mergeCell ref="D379:E379"/>
    <mergeCell ref="F379:G379"/>
    <mergeCell ref="H379:I379"/>
    <mergeCell ref="J379:K379"/>
    <mergeCell ref="B381:C381"/>
    <mergeCell ref="D381:E381"/>
    <mergeCell ref="B378:C378"/>
    <mergeCell ref="D378:E378"/>
    <mergeCell ref="F378:G378"/>
    <mergeCell ref="H378:I378"/>
    <mergeCell ref="J378:K378"/>
    <mergeCell ref="B377:C377"/>
    <mergeCell ref="D377:E377"/>
    <mergeCell ref="F377:G377"/>
    <mergeCell ref="H377:I377"/>
    <mergeCell ref="J377:K377"/>
    <mergeCell ref="B376:C376"/>
    <mergeCell ref="D376:E376"/>
    <mergeCell ref="F376:G376"/>
    <mergeCell ref="H376:I376"/>
    <mergeCell ref="J376:K376"/>
    <mergeCell ref="B375:C375"/>
    <mergeCell ref="D375:E375"/>
    <mergeCell ref="F375:G375"/>
    <mergeCell ref="H375:I375"/>
    <mergeCell ref="J375:K375"/>
    <mergeCell ref="B374:C374"/>
    <mergeCell ref="D374:E374"/>
    <mergeCell ref="F374:G374"/>
    <mergeCell ref="H374:I374"/>
    <mergeCell ref="J374:K374"/>
    <mergeCell ref="H361:I361"/>
    <mergeCell ref="J361:K361"/>
    <mergeCell ref="B362:C362"/>
    <mergeCell ref="D362:E362"/>
    <mergeCell ref="F362:G362"/>
    <mergeCell ref="H362:I362"/>
    <mergeCell ref="J362:K362"/>
    <mergeCell ref="B373:C373"/>
    <mergeCell ref="D373:E373"/>
    <mergeCell ref="F373:G373"/>
    <mergeCell ref="H373:I373"/>
    <mergeCell ref="J373:K373"/>
    <mergeCell ref="B372:C372"/>
    <mergeCell ref="D372:E372"/>
    <mergeCell ref="F372:G372"/>
    <mergeCell ref="H372:I372"/>
    <mergeCell ref="J372:K372"/>
    <mergeCell ref="J370:K370"/>
    <mergeCell ref="J371:K371"/>
    <mergeCell ref="F370:G370"/>
    <mergeCell ref="H370:I370"/>
    <mergeCell ref="F371:G371"/>
    <mergeCell ref="H371:I371"/>
    <mergeCell ref="B370:C370"/>
    <mergeCell ref="D370:E370"/>
    <mergeCell ref="B371:C371"/>
    <mergeCell ref="D371:E371"/>
    <mergeCell ref="J368:K368"/>
    <mergeCell ref="J369:K369"/>
    <mergeCell ref="F368:G368"/>
    <mergeCell ref="H368:I368"/>
    <mergeCell ref="F369:G369"/>
    <mergeCell ref="H369:I369"/>
    <mergeCell ref="B368:C368"/>
    <mergeCell ref="D368:E368"/>
    <mergeCell ref="B369:C369"/>
    <mergeCell ref="D369:E369"/>
    <mergeCell ref="J366:K366"/>
    <mergeCell ref="J367:K367"/>
    <mergeCell ref="F366:G366"/>
    <mergeCell ref="H366:I366"/>
    <mergeCell ref="F367:G367"/>
    <mergeCell ref="H367:I367"/>
    <mergeCell ref="B366:C366"/>
    <mergeCell ref="D366:E366"/>
    <mergeCell ref="B367:C367"/>
    <mergeCell ref="D367:E367"/>
    <mergeCell ref="J364:K364"/>
    <mergeCell ref="J365:K365"/>
    <mergeCell ref="F364:G364"/>
    <mergeCell ref="H364:I364"/>
    <mergeCell ref="F365:G365"/>
    <mergeCell ref="H365:I365"/>
    <mergeCell ref="B364:C364"/>
    <mergeCell ref="D364:E364"/>
    <mergeCell ref="B365:C365"/>
    <mergeCell ref="D365:E365"/>
    <mergeCell ref="J363:K363"/>
    <mergeCell ref="F363:G363"/>
    <mergeCell ref="H363:I363"/>
    <mergeCell ref="B363:C363"/>
    <mergeCell ref="D363:E363"/>
    <mergeCell ref="J356:K356"/>
    <mergeCell ref="J357:K357"/>
    <mergeCell ref="J358:K358"/>
    <mergeCell ref="J359:K359"/>
    <mergeCell ref="H356:I356"/>
    <mergeCell ref="H357:I357"/>
    <mergeCell ref="H358:I358"/>
    <mergeCell ref="H359:I359"/>
    <mergeCell ref="F356:G356"/>
    <mergeCell ref="F357:G357"/>
    <mergeCell ref="F358:G358"/>
    <mergeCell ref="F359:G359"/>
    <mergeCell ref="D359:E359"/>
    <mergeCell ref="B356:C356"/>
    <mergeCell ref="B357:C357"/>
    <mergeCell ref="B358:C358"/>
    <mergeCell ref="B359:C359"/>
    <mergeCell ref="B361:C361"/>
    <mergeCell ref="F361:G361"/>
    <mergeCell ref="J351:K351"/>
    <mergeCell ref="J352:K352"/>
    <mergeCell ref="J353:K353"/>
    <mergeCell ref="J354:K354"/>
    <mergeCell ref="J355:K355"/>
    <mergeCell ref="J346:K346"/>
    <mergeCell ref="J347:K347"/>
    <mergeCell ref="J348:K348"/>
    <mergeCell ref="J349:K349"/>
    <mergeCell ref="J350:K350"/>
    <mergeCell ref="J341:K341"/>
    <mergeCell ref="J342:K342"/>
    <mergeCell ref="J343:K343"/>
    <mergeCell ref="J344:K344"/>
    <mergeCell ref="J345:K345"/>
    <mergeCell ref="J336:K336"/>
    <mergeCell ref="J337:K337"/>
    <mergeCell ref="J338:K338"/>
    <mergeCell ref="J339:K339"/>
    <mergeCell ref="J340:K340"/>
    <mergeCell ref="H351:I351"/>
    <mergeCell ref="H352:I352"/>
    <mergeCell ref="H353:I353"/>
    <mergeCell ref="H354:I354"/>
    <mergeCell ref="H355:I355"/>
    <mergeCell ref="H346:I346"/>
    <mergeCell ref="H347:I347"/>
    <mergeCell ref="H348:I348"/>
    <mergeCell ref="H349:I349"/>
    <mergeCell ref="H350:I350"/>
    <mergeCell ref="H341:I341"/>
    <mergeCell ref="H342:I342"/>
    <mergeCell ref="H343:I343"/>
    <mergeCell ref="H344:I344"/>
    <mergeCell ref="H345:I345"/>
    <mergeCell ref="H336:I336"/>
    <mergeCell ref="H337:I337"/>
    <mergeCell ref="H338:I338"/>
    <mergeCell ref="H339:I339"/>
    <mergeCell ref="H340:I340"/>
    <mergeCell ref="F351:G351"/>
    <mergeCell ref="F352:G352"/>
    <mergeCell ref="F353:G353"/>
    <mergeCell ref="F354:G354"/>
    <mergeCell ref="F355:G355"/>
    <mergeCell ref="D361:E361"/>
    <mergeCell ref="F336:G336"/>
    <mergeCell ref="F337:G337"/>
    <mergeCell ref="F338:G338"/>
    <mergeCell ref="F339:G339"/>
    <mergeCell ref="F340:G340"/>
    <mergeCell ref="F341:G341"/>
    <mergeCell ref="F342:G342"/>
    <mergeCell ref="F343:G343"/>
    <mergeCell ref="F344:G344"/>
    <mergeCell ref="F345:G345"/>
    <mergeCell ref="F346:G346"/>
    <mergeCell ref="F347:G347"/>
    <mergeCell ref="F348:G348"/>
    <mergeCell ref="F349:G349"/>
    <mergeCell ref="F350:G350"/>
    <mergeCell ref="D356:E356"/>
    <mergeCell ref="D357:E357"/>
    <mergeCell ref="D358:E358"/>
    <mergeCell ref="D351:E351"/>
    <mergeCell ref="D352:E352"/>
    <mergeCell ref="D353:E353"/>
    <mergeCell ref="D354:E354"/>
    <mergeCell ref="D355:E355"/>
    <mergeCell ref="D346:E346"/>
    <mergeCell ref="D347:E347"/>
    <mergeCell ref="D348:E348"/>
    <mergeCell ref="D349:E349"/>
    <mergeCell ref="D350:E350"/>
    <mergeCell ref="D341:E341"/>
    <mergeCell ref="D342:E342"/>
    <mergeCell ref="D343:E343"/>
    <mergeCell ref="D344:E344"/>
    <mergeCell ref="D345:E345"/>
    <mergeCell ref="D336:E336"/>
    <mergeCell ref="D337:E337"/>
    <mergeCell ref="D338:E338"/>
    <mergeCell ref="D339:E339"/>
    <mergeCell ref="D340:E340"/>
    <mergeCell ref="B351:C351"/>
    <mergeCell ref="B352:C352"/>
    <mergeCell ref="B353:C353"/>
    <mergeCell ref="B354:C354"/>
    <mergeCell ref="B355:C355"/>
    <mergeCell ref="B346:C346"/>
    <mergeCell ref="B347:C347"/>
    <mergeCell ref="B348:C348"/>
    <mergeCell ref="B349:C349"/>
    <mergeCell ref="B350:C350"/>
    <mergeCell ref="B341:C341"/>
    <mergeCell ref="B342:C342"/>
    <mergeCell ref="B343:C343"/>
    <mergeCell ref="B344:C344"/>
    <mergeCell ref="B345:C345"/>
    <mergeCell ref="B336:C336"/>
    <mergeCell ref="B337:C337"/>
    <mergeCell ref="B338:C338"/>
    <mergeCell ref="B339:C339"/>
    <mergeCell ref="B340:C340"/>
    <mergeCell ref="B335:C335"/>
    <mergeCell ref="D335:E335"/>
    <mergeCell ref="F335:G335"/>
    <mergeCell ref="H335:I335"/>
    <mergeCell ref="J335:K335"/>
    <mergeCell ref="B307:C307"/>
    <mergeCell ref="D307:E307"/>
    <mergeCell ref="F307:G307"/>
    <mergeCell ref="H307:I307"/>
    <mergeCell ref="J307:K307"/>
    <mergeCell ref="H124:I124"/>
    <mergeCell ref="J124:K124"/>
    <mergeCell ref="B123:C123"/>
    <mergeCell ref="D123:E123"/>
    <mergeCell ref="F123:G123"/>
    <mergeCell ref="H123:I123"/>
    <mergeCell ref="J123:K123"/>
    <mergeCell ref="D278:E278"/>
    <mergeCell ref="F278:G278"/>
    <mergeCell ref="H278:I278"/>
    <mergeCell ref="J278:K278"/>
    <mergeCell ref="B278:C278"/>
    <mergeCell ref="A185:B185"/>
    <mergeCell ref="A215:B215"/>
    <mergeCell ref="B124:C124"/>
    <mergeCell ref="D124:E124"/>
    <mergeCell ref="F124:G124"/>
    <mergeCell ref="B265:D265"/>
    <mergeCell ref="B266:D266"/>
    <mergeCell ref="B267:D267"/>
    <mergeCell ref="B268:D268"/>
    <mergeCell ref="B269:D269"/>
    <mergeCell ref="B270:D270"/>
    <mergeCell ref="A265:A266"/>
    <mergeCell ref="J120:K120"/>
    <mergeCell ref="H120:I120"/>
    <mergeCell ref="J109:K109"/>
    <mergeCell ref="H109:I109"/>
    <mergeCell ref="J53:K53"/>
    <mergeCell ref="H53:I53"/>
    <mergeCell ref="B120:C120"/>
    <mergeCell ref="D120:E120"/>
    <mergeCell ref="F120:G120"/>
    <mergeCell ref="A271:A272"/>
    <mergeCell ref="B271:D271"/>
    <mergeCell ref="B272:D272"/>
    <mergeCell ref="A273:A274"/>
    <mergeCell ref="B273:D273"/>
    <mergeCell ref="B274:D274"/>
    <mergeCell ref="B53:C53"/>
    <mergeCell ref="D53:E53"/>
    <mergeCell ref="F53:G53"/>
    <mergeCell ref="B109:C109"/>
    <mergeCell ref="D109:E109"/>
    <mergeCell ref="F109:G109"/>
    <mergeCell ref="A267:A268"/>
    <mergeCell ref="A269:A270"/>
    <mergeCell ref="L388:M388"/>
    <mergeCell ref="N388:O388"/>
    <mergeCell ref="P388:Q388"/>
    <mergeCell ref="R388:S388"/>
    <mergeCell ref="T388:U388"/>
    <mergeCell ref="L389:M389"/>
    <mergeCell ref="N389:O389"/>
    <mergeCell ref="P389:Q389"/>
    <mergeCell ref="R389:S389"/>
    <mergeCell ref="T389:U389"/>
    <mergeCell ref="L390:M390"/>
    <mergeCell ref="N390:O390"/>
    <mergeCell ref="P390:Q390"/>
    <mergeCell ref="R390:S390"/>
    <mergeCell ref="T390:U390"/>
    <mergeCell ref="L391:M391"/>
    <mergeCell ref="N391:O391"/>
    <mergeCell ref="P391:Q391"/>
    <mergeCell ref="R391:S391"/>
    <mergeCell ref="T391:U391"/>
    <mergeCell ref="L392:M392"/>
    <mergeCell ref="N392:O392"/>
    <mergeCell ref="P392:Q392"/>
    <mergeCell ref="R392:S392"/>
    <mergeCell ref="T392:U392"/>
    <mergeCell ref="L393:M393"/>
    <mergeCell ref="N393:O393"/>
    <mergeCell ref="P393:Q393"/>
    <mergeCell ref="R393:S393"/>
    <mergeCell ref="T393:U393"/>
    <mergeCell ref="L394:M394"/>
    <mergeCell ref="N394:O394"/>
    <mergeCell ref="P394:Q394"/>
    <mergeCell ref="R394:S394"/>
    <mergeCell ref="T394:U394"/>
    <mergeCell ref="L395:M395"/>
    <mergeCell ref="N395:O395"/>
    <mergeCell ref="P395:Q395"/>
    <mergeCell ref="R395:S395"/>
    <mergeCell ref="T395:U395"/>
    <mergeCell ref="L396:M396"/>
    <mergeCell ref="N396:O396"/>
    <mergeCell ref="P396:Q396"/>
    <mergeCell ref="R396:S396"/>
    <mergeCell ref="T396:U396"/>
    <mergeCell ref="L397:M397"/>
    <mergeCell ref="N397:O397"/>
    <mergeCell ref="P397:Q397"/>
    <mergeCell ref="R397:S397"/>
    <mergeCell ref="T397:U397"/>
    <mergeCell ref="L398:M398"/>
    <mergeCell ref="N398:O398"/>
    <mergeCell ref="P398:Q398"/>
    <mergeCell ref="R398:S398"/>
    <mergeCell ref="T398:U398"/>
    <mergeCell ref="L399:M399"/>
    <mergeCell ref="N399:O399"/>
    <mergeCell ref="P399:Q399"/>
    <mergeCell ref="R399:S399"/>
    <mergeCell ref="T399:U399"/>
    <mergeCell ref="L400:M400"/>
    <mergeCell ref="N400:O400"/>
    <mergeCell ref="P400:Q400"/>
    <mergeCell ref="R400:S400"/>
    <mergeCell ref="T400:U400"/>
    <mergeCell ref="L401:M401"/>
    <mergeCell ref="N401:O401"/>
    <mergeCell ref="P401:Q401"/>
    <mergeCell ref="R401:S401"/>
    <mergeCell ref="T401:U401"/>
    <mergeCell ref="L402:M402"/>
    <mergeCell ref="N402:O402"/>
    <mergeCell ref="P402:Q402"/>
    <mergeCell ref="R402:S402"/>
    <mergeCell ref="T402:U402"/>
    <mergeCell ref="L403:M403"/>
    <mergeCell ref="N403:O403"/>
    <mergeCell ref="P403:Q403"/>
    <mergeCell ref="R403:S403"/>
    <mergeCell ref="T403:U403"/>
    <mergeCell ref="L404:M404"/>
    <mergeCell ref="N404:O404"/>
    <mergeCell ref="P404:Q404"/>
    <mergeCell ref="R404:S404"/>
    <mergeCell ref="T404:U404"/>
    <mergeCell ref="L405:M405"/>
    <mergeCell ref="N405:O405"/>
    <mergeCell ref="P405:Q405"/>
    <mergeCell ref="R405:S405"/>
    <mergeCell ref="T405:U405"/>
    <mergeCell ref="L406:M406"/>
    <mergeCell ref="N406:O406"/>
    <mergeCell ref="P406:Q406"/>
    <mergeCell ref="R406:S406"/>
    <mergeCell ref="T406:U406"/>
    <mergeCell ref="L407:M407"/>
    <mergeCell ref="N407:O407"/>
    <mergeCell ref="P407:Q407"/>
    <mergeCell ref="R407:S407"/>
    <mergeCell ref="T407:U407"/>
    <mergeCell ref="L408:M408"/>
    <mergeCell ref="N408:O408"/>
    <mergeCell ref="P408:Q408"/>
    <mergeCell ref="R408:S408"/>
    <mergeCell ref="T408:U408"/>
    <mergeCell ref="L409:M409"/>
    <mergeCell ref="N409:O409"/>
    <mergeCell ref="P409:Q409"/>
    <mergeCell ref="R409:S409"/>
    <mergeCell ref="T409:U409"/>
    <mergeCell ref="L410:M410"/>
    <mergeCell ref="N410:O410"/>
    <mergeCell ref="P410:Q410"/>
    <mergeCell ref="R410:S410"/>
    <mergeCell ref="T410:U410"/>
    <mergeCell ref="L411:M411"/>
    <mergeCell ref="N411:O411"/>
    <mergeCell ref="P411:Q411"/>
    <mergeCell ref="R411:S411"/>
    <mergeCell ref="T411:U411"/>
    <mergeCell ref="L412:M412"/>
    <mergeCell ref="N412:O412"/>
    <mergeCell ref="P412:Q412"/>
    <mergeCell ref="R412:S412"/>
    <mergeCell ref="T412:U412"/>
    <mergeCell ref="L413:M413"/>
    <mergeCell ref="N413:O413"/>
    <mergeCell ref="P413:Q413"/>
    <mergeCell ref="R413:S413"/>
    <mergeCell ref="T413:U413"/>
    <mergeCell ref="L414:M414"/>
    <mergeCell ref="N414:O414"/>
    <mergeCell ref="P414:Q414"/>
    <mergeCell ref="R414:S414"/>
    <mergeCell ref="T414:U414"/>
    <mergeCell ref="L415:M415"/>
    <mergeCell ref="N415:O415"/>
    <mergeCell ref="P415:Q415"/>
    <mergeCell ref="R415:S415"/>
    <mergeCell ref="T415:U415"/>
    <mergeCell ref="L416:M416"/>
    <mergeCell ref="N416:O416"/>
    <mergeCell ref="P416:Q416"/>
    <mergeCell ref="R416:S416"/>
    <mergeCell ref="T416:U416"/>
    <mergeCell ref="L417:M417"/>
    <mergeCell ref="N417:O417"/>
    <mergeCell ref="P417:Q417"/>
    <mergeCell ref="R417:S417"/>
    <mergeCell ref="T417:U417"/>
    <mergeCell ref="L418:M418"/>
    <mergeCell ref="N418:O418"/>
    <mergeCell ref="P418:Q418"/>
    <mergeCell ref="R418:S418"/>
    <mergeCell ref="T418:U418"/>
    <mergeCell ref="L419:M419"/>
    <mergeCell ref="N419:O419"/>
    <mergeCell ref="P419:Q419"/>
    <mergeCell ref="R419:S419"/>
    <mergeCell ref="T419:U419"/>
    <mergeCell ref="L420:M420"/>
    <mergeCell ref="N420:O420"/>
    <mergeCell ref="P420:Q420"/>
    <mergeCell ref="R420:S420"/>
    <mergeCell ref="T420:U420"/>
    <mergeCell ref="L421:M421"/>
    <mergeCell ref="N421:O421"/>
    <mergeCell ref="P421:Q421"/>
    <mergeCell ref="R421:S421"/>
    <mergeCell ref="T421:U421"/>
    <mergeCell ref="L422:M422"/>
    <mergeCell ref="N422:O422"/>
    <mergeCell ref="P422:Q422"/>
    <mergeCell ref="R422:S422"/>
    <mergeCell ref="T422:U422"/>
    <mergeCell ref="L423:M423"/>
    <mergeCell ref="N423:O423"/>
    <mergeCell ref="P423:Q423"/>
    <mergeCell ref="R423:S423"/>
    <mergeCell ref="T423:U4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A435"/>
  <sheetViews>
    <sheetView tabSelected="1" topLeftCell="A183" zoomScaleNormal="100" workbookViewId="0">
      <selection activeCell="E43" sqref="E43:F43"/>
    </sheetView>
  </sheetViews>
  <sheetFormatPr defaultColWidth="8.85546875" defaultRowHeight="12" x14ac:dyDescent="0.2"/>
  <cols>
    <col min="1" max="1" width="3.28515625" style="33" customWidth="1"/>
    <col min="2" max="2" width="8.5703125" style="33" customWidth="1"/>
    <col min="3" max="3" width="9.85546875" style="33" customWidth="1"/>
    <col min="4" max="4" width="9.28515625" style="33" customWidth="1"/>
    <col min="5" max="6" width="12" style="33" customWidth="1"/>
    <col min="7" max="7" width="12.5703125" style="33" customWidth="1"/>
    <col min="8" max="12" width="7.7109375" style="33" customWidth="1"/>
    <col min="13" max="13" width="6.28515625" style="33" customWidth="1"/>
    <col min="14" max="14" width="6" style="33" customWidth="1"/>
    <col min="15" max="15" width="8.5703125" style="33" customWidth="1"/>
    <col min="16" max="20" width="11.28515625" style="33" customWidth="1"/>
    <col min="21" max="21" width="11.7109375" style="33" customWidth="1"/>
    <col min="22" max="22" width="12" style="33" bestFit="1" customWidth="1"/>
    <col min="23" max="25" width="11" style="33" bestFit="1" customWidth="1"/>
    <col min="26" max="26" width="9.85546875" style="33" bestFit="1" customWidth="1"/>
    <col min="27" max="16384" width="8.85546875" style="33"/>
  </cols>
  <sheetData>
    <row r="1" spans="1:53" ht="14.25" customHeight="1" thickBot="1" x14ac:dyDescent="0.25">
      <c r="A1" s="478" t="s">
        <v>243</v>
      </c>
      <c r="B1" s="479"/>
      <c r="C1" s="370">
        <v>43739</v>
      </c>
      <c r="D1" s="371"/>
      <c r="E1" s="368" t="s">
        <v>274</v>
      </c>
      <c r="F1" s="263" t="s">
        <v>162</v>
      </c>
      <c r="G1" s="374" t="s">
        <v>275</v>
      </c>
      <c r="H1" s="375"/>
      <c r="I1" s="375"/>
      <c r="J1" s="375"/>
      <c r="K1" s="375"/>
      <c r="L1" s="375"/>
      <c r="M1" s="375"/>
      <c r="N1" s="375"/>
      <c r="O1" s="376"/>
      <c r="P1" s="337" t="s">
        <v>130</v>
      </c>
      <c r="Q1" s="337"/>
      <c r="R1" s="337"/>
      <c r="S1" s="338"/>
      <c r="T1" s="440">
        <v>43661</v>
      </c>
      <c r="U1" s="441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</row>
    <row r="2" spans="1:53" ht="13.15" customHeight="1" thickTop="1" x14ac:dyDescent="0.2">
      <c r="A2" s="478" t="s">
        <v>2</v>
      </c>
      <c r="B2" s="479"/>
      <c r="C2" s="372">
        <v>45565</v>
      </c>
      <c r="D2" s="373"/>
      <c r="E2" s="369"/>
      <c r="F2" s="263" t="s">
        <v>6</v>
      </c>
      <c r="G2" s="377" t="s">
        <v>276</v>
      </c>
      <c r="H2" s="378"/>
      <c r="I2" s="378"/>
      <c r="J2" s="378"/>
      <c r="K2" s="378"/>
      <c r="L2" s="378"/>
      <c r="M2" s="378"/>
      <c r="N2" s="378"/>
      <c r="O2" s="379"/>
      <c r="P2" s="164" t="s">
        <v>273</v>
      </c>
      <c r="Q2" s="165" t="str">
        <f>IF(Worksheet!D5=1,ROUND(Worksheet!D5,2)&amp;" Month",ROUND(Worksheet!D5,2)&amp;" Months")</f>
        <v>12 Months</v>
      </c>
      <c r="R2" s="165" t="str">
        <f>IF(Worksheet!E5=1,ROUND(Worksheet!E5,2)&amp;" Month",ROUND(Worksheet!E5,2)&amp;" Months")</f>
        <v>12 Months</v>
      </c>
      <c r="S2" s="165" t="str">
        <f>IF(Worksheet!F5=1,ROUND(Worksheet!F5,2)&amp;" Month",ROUND(Worksheet!F5,2)&amp;" Months")</f>
        <v>12 Months</v>
      </c>
      <c r="T2" s="165" t="str">
        <f>IF(Worksheet!G5=1,ROUND(Worksheet!G5,2)&amp;" Month",ROUND(Worksheet!G5,2)&amp;" Months")</f>
        <v>12 Months</v>
      </c>
      <c r="U2" s="165" t="str">
        <f>IF(Worksheet!B5=1,ROUND(Worksheet!B5,2)&amp;" Month",ROUND(Worksheet!B5,2)&amp;" Months")</f>
        <v>60 Months</v>
      </c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</row>
    <row r="3" spans="1:53" ht="3" customHeight="1" thickBot="1" x14ac:dyDescent="0.25">
      <c r="C3" s="42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</row>
    <row r="4" spans="1:53" ht="14.45" customHeight="1" thickBot="1" x14ac:dyDescent="0.25">
      <c r="A4" s="442" t="s">
        <v>215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4"/>
      <c r="M4" s="381" t="s">
        <v>154</v>
      </c>
      <c r="N4" s="382"/>
      <c r="O4" s="385" t="s">
        <v>160</v>
      </c>
      <c r="P4" s="222" t="str">
        <f>IF(Worksheet!B5&gt;=Worksheet!C1,"",ROUND(Worksheet!B5,2)&amp; " Months")</f>
        <v/>
      </c>
      <c r="Q4" s="43"/>
      <c r="R4" s="458" t="s">
        <v>46</v>
      </c>
      <c r="S4" s="458"/>
      <c r="T4" s="155" t="s">
        <v>256</v>
      </c>
      <c r="U4" s="179" t="s">
        <v>272</v>
      </c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195"/>
      <c r="AU4" s="195"/>
      <c r="AV4" s="195"/>
      <c r="AW4" s="195"/>
      <c r="AX4" s="195"/>
      <c r="AY4" s="195"/>
      <c r="AZ4" s="195"/>
      <c r="BA4" s="195"/>
    </row>
    <row r="5" spans="1:53" x14ac:dyDescent="0.2">
      <c r="A5" s="445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7"/>
      <c r="M5" s="383"/>
      <c r="N5" s="384"/>
      <c r="O5" s="386"/>
      <c r="P5" s="44" t="s">
        <v>113</v>
      </c>
      <c r="Q5" s="44" t="s">
        <v>114</v>
      </c>
      <c r="R5" s="44" t="s">
        <v>115</v>
      </c>
      <c r="S5" s="44" t="s">
        <v>118</v>
      </c>
      <c r="T5" s="44" t="s">
        <v>116</v>
      </c>
      <c r="U5" s="92" t="s">
        <v>11</v>
      </c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</row>
    <row r="6" spans="1:53" ht="15.75" customHeight="1" x14ac:dyDescent="0.2">
      <c r="A6" s="468"/>
      <c r="B6" s="387" t="s">
        <v>117</v>
      </c>
      <c r="C6" s="387"/>
      <c r="D6" s="387"/>
      <c r="E6" s="450" t="s">
        <v>188</v>
      </c>
      <c r="F6" s="451"/>
      <c r="G6" s="452"/>
      <c r="H6" s="347" t="s">
        <v>145</v>
      </c>
      <c r="I6" s="380"/>
      <c r="J6" s="380"/>
      <c r="K6" s="380"/>
      <c r="L6" s="380"/>
      <c r="M6" s="345" t="s">
        <v>236</v>
      </c>
      <c r="N6" s="346"/>
      <c r="O6" s="475" t="s">
        <v>112</v>
      </c>
      <c r="P6" s="466" t="str">
        <f>TEXT(Worksheet!C2,"m/d/yy")&amp;"-"&amp;TEXT(Worksheet!C3,"m/d/yy")</f>
        <v>10/1/19-9/30/20</v>
      </c>
      <c r="Q6" s="466" t="str">
        <f>TEXT(Worksheet!D2,"m/d/yy")&amp;"-"&amp;TEXT(Worksheet!D3,"m/d/yy")</f>
        <v>10/1/20-9/30/21</v>
      </c>
      <c r="R6" s="466" t="str">
        <f>TEXT(Worksheet!E2,"m/d/yy")&amp;"-"&amp;TEXT(Worksheet!E3,"m/d/yy")</f>
        <v>10/1/21-9/30/22</v>
      </c>
      <c r="S6" s="466" t="str">
        <f>TEXT(Worksheet!F2,"m/d/yy")&amp;"-"&amp;TEXT(Worksheet!F3,"m/d/yy")</f>
        <v>10/1/22-9/30/23</v>
      </c>
      <c r="T6" s="466" t="str">
        <f>TEXT(Worksheet!G2,"m/d/yy")&amp;"-"&amp;TEXT(Worksheet!G3,"m/d/yy")</f>
        <v>10/1/23-9/30/24</v>
      </c>
      <c r="U6" s="466" t="str">
        <f>TEXT(Worksheet!B2,"m/d/yy")&amp;"-"&amp;TEXT(Worksheet!B3,"m/d/yy")</f>
        <v>10/1/19-9/30/24</v>
      </c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</row>
    <row r="7" spans="1:53" ht="20.25" customHeight="1" x14ac:dyDescent="0.2">
      <c r="A7" s="469"/>
      <c r="B7" s="388"/>
      <c r="C7" s="388"/>
      <c r="D7" s="388"/>
      <c r="E7" s="259" t="s">
        <v>232</v>
      </c>
      <c r="F7" s="258" t="s">
        <v>231</v>
      </c>
      <c r="G7" s="260" t="s">
        <v>233</v>
      </c>
      <c r="H7" s="97" t="s">
        <v>146</v>
      </c>
      <c r="I7" s="97" t="s">
        <v>147</v>
      </c>
      <c r="J7" s="97" t="s">
        <v>148</v>
      </c>
      <c r="K7" s="97" t="s">
        <v>149</v>
      </c>
      <c r="L7" s="97" t="s">
        <v>150</v>
      </c>
      <c r="M7" s="347"/>
      <c r="N7" s="348"/>
      <c r="O7" s="475"/>
      <c r="P7" s="467"/>
      <c r="Q7" s="467"/>
      <c r="R7" s="467"/>
      <c r="S7" s="467"/>
      <c r="T7" s="467"/>
      <c r="U7" s="467"/>
      <c r="V7" s="203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</row>
    <row r="8" spans="1:53" x14ac:dyDescent="0.2">
      <c r="A8" s="161">
        <v>1</v>
      </c>
      <c r="B8" s="162" t="s">
        <v>277</v>
      </c>
      <c r="C8" s="162"/>
      <c r="D8" s="163"/>
      <c r="E8" s="257">
        <f>14847*9</f>
        <v>133623</v>
      </c>
      <c r="F8" s="257">
        <f>14847*3</f>
        <v>44541</v>
      </c>
      <c r="G8" s="266">
        <f>E8+F8</f>
        <v>178164</v>
      </c>
      <c r="H8" s="303">
        <f>(9*0.2)/12</f>
        <v>0.15</v>
      </c>
      <c r="I8" s="303">
        <f>(9*0.2)/12</f>
        <v>0.15</v>
      </c>
      <c r="J8" s="303">
        <f>(9*0.2)/12</f>
        <v>0.15</v>
      </c>
      <c r="K8" s="303"/>
      <c r="L8" s="303"/>
      <c r="M8" s="349" t="s">
        <v>279</v>
      </c>
      <c r="N8" s="350"/>
      <c r="O8" s="160">
        <v>0.03</v>
      </c>
      <c r="P8" s="193">
        <f ca="1">IF(AND($U$4="Multi",$T$4="FY"),ROUND(((1+$O8)^Worksheet!$B$20*Worksheet!$C$9+(1+$O8)^(Worksheet!$B$20+1)*Worksheet!$C$10)/12*Request!$G8*Request!$H8,0),(IF(AND($U$4="Multi",$T$4="PY"),ROUND($G8*$H8/12*Worksheet!$C$5,0),(IF(AND($U$4&lt;&gt;"Multi",$T$4="FY"),ROUND(((1+$U$4)^Worksheet!$B$20*Worksheet!$C$9+(1+$U$4)^(Worksheet!$B$20+1)*Worksheet!$C$10)/12*Request!$G8*Request!$H8,0),ROUND($G8*$H8/12*Worksheet!$C$5,0))))))</f>
        <v>26925</v>
      </c>
      <c r="Q8" s="193">
        <f ca="1">IF(Worksheet!$C$4=Worksheet!$D$4,(IF(AND($U$4="Multi",$T$4="FY"),ROUND(((1+$O8)^(Worksheet!$B$20)*Worksheet!$D$9+(1+$O8)^(Worksheet!$B$20+1)*Worksheet!$D$10)/12*Request!$G8*Request!$I8,0),(IF(AND($U$4="Multi",$T$4="PY"),ROUND($G8*$I8*(1+O8)/12*Worksheet!$D$5,0),(IF(AND($U$4&lt;&gt;"Multi",$T$4="FY"),ROUND(((1+$U$4)^(Worksheet!$B$20)*Worksheet!$D$9+(1+$U$4)^(Worksheet!$B$20+1)*Worksheet!$D$10)/12*Request!$G8*Request!$I8,0),ROUND($G8*$I8*(1+$U$4)/12*Worksheet!$D$5,0))))))),(IF(AND($U$4="Multi",$T$4="FY"),ROUND(((1+$O8)^(Worksheet!$B$20+1)*Worksheet!$D$9+(1+$O8)^(Worksheet!$B$20+2)*Worksheet!$D$10)/12*Request!$G8*Request!$I8,0),(IF(AND($U$4="Multi",$T$4="PY"),ROUND($G8*$I8*(1+O8)/12*Worksheet!$D$5,0),(IF(AND($U$4&lt;&gt;"Multi",$T$4="FY"),ROUND(((1+$U$4)^(Worksheet!$B$20+1)*Worksheet!$D$9+(1+$U$4)^(Worksheet!$B$20+2)*Worksheet!$D$10)/12*Request!$G8*Request!$I8,0),ROUND($G8*$I8*(1+$U$4)/12*Worksheet!$D$5,0))))))))</f>
        <v>27733</v>
      </c>
      <c r="R8" s="193">
        <f ca="1">IF(Worksheet!$C$4=Worksheet!$D$4,(IF(AND($U$4="Multi",$T$4="FY"),ROUND(((1+$O8)^(Worksheet!$B$20+1)*Worksheet!$E$9+(1+$O8)^(Worksheet!$B$20+2)*Worksheet!$E$10)/12*Request!$G8*Request!J8,0),(IF(AND($U$4="Multi",$T$4="PY"),ROUND($G8*J8*((1+$O8)^2)/12*Worksheet!$E$5,0),(IF(AND($U$4&lt;&gt;"Multi",$T$4="FY"),ROUND(((1+$U$4)^(Worksheet!$B$20+1)*Worksheet!$E$9+(1+$U$4)^(Worksheet!$B$20+2)*Worksheet!$E$10)/12*Request!$G8*Request!J8,0),ROUND($G8*J8*((1+$U$4)^2)/12*Worksheet!$E$5,0))))))),(IF(AND($U$4="Multi",$T$4="FY"),ROUND(((1+$O8)^(Worksheet!$B$20+2)*Worksheet!$E$9+(1+$O8)^(Worksheet!$B$20+3)*Worksheet!$E$10)/12*Request!$G8*Request!J8,0),(IF(AND($U$4="Multi",$T$4="PY"),ROUND($G8*J8*((1+$O8)^2)/12*Worksheet!$E$5,0),(IF(AND($U$4&lt;&gt;"Multi",$T$4="FY"),ROUND(((1+$U$4)^(Worksheet!$B$20+2)*Worksheet!$E$9+(1+$U$4)^(Worksheet!$B$20+3)*Worksheet!$E$10)/12*Request!$G8*Request!J8,0),ROUND($G8*J8*((1+$U$4)^2)/12*Worksheet!$E$5,0))))))))</f>
        <v>28565</v>
      </c>
      <c r="S8" s="193">
        <f ca="1">IF(Worksheet!$C$4=Worksheet!$D$4,(IF(AND($U$4="Multi",$T$4="FY"),ROUND(((1+$O8)^(Worksheet!$B$20+2)*Worksheet!$F$9+(1+$O8)^(Worksheet!$B$20+3)*Worksheet!$F$10)/12*Request!$G8*Request!$K8,0),(IF(AND($U$4="Multi",$T$4="PY"),ROUND($G8*$K8*((1+$O8)^3)/12*Worksheet!$F$5,0),(IF(AND($U$4&lt;&gt;"Multi",$T$4="FY"),ROUND(((1+$U$4)^(Worksheet!$B$20+2)*Worksheet!$F$9+(1+$U$4)^(Worksheet!$B$20+3)*Worksheet!$F$10)/12*Request!$G8*Request!$K8,0),ROUND($G8*$K8*((1+$U$4)^3)/12*Worksheet!$F$5,0))))))),(IF(AND($U$4="Multi",$T$4="FY"),ROUND(((1+$O8)^(Worksheet!$B$20+3)*Worksheet!$F$9+(1+$O8)^(Worksheet!$B$20+4)*Worksheet!$F$10)/12*Request!$G8*Request!$K8,0),(IF(AND($U$4="Multi",$T$4="PY"),ROUND($G8*$K8*((1+$O8)^3)/12*Worksheet!$F$5,0),(IF(AND($U$4&lt;&gt;"Multi",$T$4="FY"),ROUND(((1+$U$4)^(Worksheet!$B$20+3)*Worksheet!$F$9+(1+$U$4)^(Worksheet!$B$20+4)*Worksheet!$F$10)/12*Request!$G8*Request!$K8,0),ROUND($G8*$K8*((1+$U$4)^3)/12*Worksheet!$F$5,0))))))))</f>
        <v>0</v>
      </c>
      <c r="T8" s="193">
        <f ca="1">IF(Worksheet!$C$4=Worksheet!$D$4,(IF(AND($U$4="Multi",$T$4="FY"),ROUND(((1+$O8)^(Worksheet!$B$20+3)*Worksheet!$G$9+(1+$O8)^(Worksheet!$B$20+4)*Worksheet!$G$10)/12*Request!$G8*Request!$L8,0),(IF(AND($U$4="Multi",$T$4="PY"),ROUND($G8*$L8*((1+$O8)^4)/12*Worksheet!$G$5,0),(IF(AND($U$4&lt;&gt;"Multi",$T$4="FY"),ROUND(((1+$U$4)^(Worksheet!$B$20+3)*Worksheet!$G$9+(1+$U$4)^(Worksheet!$B$20+4)*Worksheet!$G$10)/12*Request!$G8*Request!$L8,0),ROUND($G8*$L8*((1+$U$4)^4)/12*Worksheet!$G$5,0))))))),(IF(AND($U$4="Multi",$T$4="FY"),ROUND(((1+$O8)^(Worksheet!$B$20+4)*Worksheet!$G$9+(1+$O8)^(Worksheet!$B$20+5)*Worksheet!$G$10)/12*Request!$G8*Request!$L8,0),(IF(AND($U$4="Multi",$T$4="PY"),ROUND($G8*$L8*((1+$O8)^4)/12*Worksheet!$G$5,0),(IF(AND($U$4&lt;&gt;"Multi",$T$4="FY"),ROUND(((1+$U$4)^(Worksheet!$B$20+4)*Worksheet!$G$9+(1+$U$4)^(Worksheet!$B$20+5)*Worksheet!$G$10)/12*Request!$G8*Request!$L8,0),ROUND($G8*$L8*((1+$U$4)^4)/12*Worksheet!$G$5,0))))))))</f>
        <v>0</v>
      </c>
      <c r="U8" s="157">
        <f ca="1">SUM(P8:T8)</f>
        <v>83223</v>
      </c>
      <c r="V8" s="296"/>
      <c r="W8" s="203"/>
      <c r="X8" s="203"/>
      <c r="Y8" s="203"/>
      <c r="Z8" s="203"/>
      <c r="AA8" s="204"/>
      <c r="AB8" s="204"/>
      <c r="AC8" s="204"/>
      <c r="AD8" s="204"/>
      <c r="AE8" s="204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</row>
    <row r="9" spans="1:53" x14ac:dyDescent="0.2">
      <c r="A9" s="161">
        <v>2</v>
      </c>
      <c r="B9" s="162" t="s">
        <v>278</v>
      </c>
      <c r="C9" s="162"/>
      <c r="D9" s="187"/>
      <c r="E9" s="257">
        <f>14847*9</f>
        <v>133623</v>
      </c>
      <c r="F9" s="257">
        <f>14847*3</f>
        <v>44541</v>
      </c>
      <c r="G9" s="266">
        <f t="shared" ref="G9:G31" si="0">E9+F9</f>
        <v>178164</v>
      </c>
      <c r="H9" s="303">
        <f>(3*0.1)/12</f>
        <v>2.5000000000000005E-2</v>
      </c>
      <c r="I9" s="303">
        <f>(3*0.1)/12</f>
        <v>2.5000000000000005E-2</v>
      </c>
      <c r="J9" s="303">
        <f>(3*0.1)/12</f>
        <v>2.5000000000000005E-2</v>
      </c>
      <c r="K9" s="303"/>
      <c r="L9" s="303"/>
      <c r="M9" s="349" t="s">
        <v>280</v>
      </c>
      <c r="N9" s="350"/>
      <c r="O9" s="160">
        <v>0.03</v>
      </c>
      <c r="P9" s="193">
        <f ca="1">IF(AND($U$4="Multi",$T$4="FY"),ROUND(((1+$O9)^Worksheet!$B$20*Worksheet!$C$9+(1+$O9)^(Worksheet!$B$20+1)*Worksheet!$C$10)/12*Request!$G9*Request!$H9,0),(IF(AND($U$4="Multi",$T$4="PY"),ROUND(G9*H9/12*Worksheet!$C$5,0),(IF(AND($U$4&lt;&gt;"Multi",$T$4="FY"),ROUND(((1+$U$4)^Worksheet!$B$20*Worksheet!$C$9+(1+$U$4)^(Worksheet!$B$20+1)*Worksheet!$C$10)/12*Request!$G9*Request!$H9,0),ROUND($G9*$H9/12*Worksheet!$C$5,0))))))</f>
        <v>4488</v>
      </c>
      <c r="Q9" s="193">
        <f ca="1">IF(Worksheet!$C$4=Worksheet!$D$4,(IF(AND($U$4="Multi",$T$4="FY"),ROUND(((1+$O9)^(Worksheet!$B$20)*Worksheet!$D$9+(1+$O9)^(Worksheet!$B$20+1)*Worksheet!$D$10)/12*Request!$G9*Request!$I9,0),(IF(AND($U$4="Multi",$T$4="PY"),ROUND($G9*$I9*(1+O9)/12*Worksheet!$D$5,0),(IF(AND($U$4&lt;&gt;"Multi",$T$4="FY"),ROUND(((1+$U$4)^(Worksheet!$B$20)*Worksheet!$D$9+(1+$U$4)^(Worksheet!$B$20+1)*Worksheet!$D$10)/12*Request!$G9*Request!$I9,0),ROUND($G9*$I9*(1+$U$4)/12*Worksheet!$D$5,0))))))),(IF(AND($U$4="Multi",$T$4="FY"),ROUND(((1+$O9)^(Worksheet!$B$20+1)*Worksheet!$D$9+(1+$O9)^(Worksheet!$B$20+2)*Worksheet!$D$10)/12*Request!$G9*Request!$I9,0),(IF(AND($U$4="Multi",$T$4="PY"),ROUND($G9*$I9*(1+O9)/12*Worksheet!$D$5,0),(IF(AND($U$4&lt;&gt;"Multi",$T$4="FY"),ROUND(((1+$U$4)^(Worksheet!$B$20+1)*Worksheet!$D$9+(1+$U$4)^(Worksheet!$B$20+2)*Worksheet!$D$10)/12*Request!$G9*Request!$I9,0),ROUND($G9*$I9*(1+$U$4)/12*Worksheet!$D$5,0))))))))</f>
        <v>4622</v>
      </c>
      <c r="R9" s="193">
        <f ca="1">IF(Worksheet!$C$4=Worksheet!$D$4,(IF(AND($U$4="Multi",$T$4="FY"),ROUND(((1+$O9)^(Worksheet!$B$20+1)*Worksheet!$E$9+(1+$O9)^(Worksheet!$B$20+2)*Worksheet!$E$10)/12*Request!$G9*Request!J9,0),(IF(AND($U$4="Multi",$T$4="PY"),ROUND($G9*J9*((1+$O9)^2)/12*Worksheet!$E$5,0),(IF(AND($U$4&lt;&gt;"Multi",$T$4="FY"),ROUND(((1+$U$4)^(Worksheet!$B$20+1)*Worksheet!$E$9+(1+$U$4)^(Worksheet!$B$20+2)*Worksheet!$E$10)/12*Request!$G9*Request!J9,0),ROUND($G9*J9*((1+$U$4)^2)/12*Worksheet!$E$5,0))))))),(IF(AND($U$4="Multi",$T$4="FY"),ROUND(((1+$O9)^(Worksheet!$B$20+2)*Worksheet!$E$9+(1+$O9)^(Worksheet!$B$20+3)*Worksheet!$E$10)/12*Request!$G9*Request!J9,0),(IF(AND($U$4="Multi",$T$4="PY"),ROUND($G9*J9*((1+$O9)^2)/12*Worksheet!$E$5,0),(IF(AND($U$4&lt;&gt;"Multi",$T$4="FY"),ROUND(((1+$U$4)^(Worksheet!$B$20+2)*Worksheet!$E$9+(1+$U$4)^(Worksheet!$B$20+3)*Worksheet!$E$10)/12*Request!$G9*Request!J9,0),ROUND($G9*J9*((1+$U$4)^2)/12*Worksheet!$E$5,0))))))))</f>
        <v>4761</v>
      </c>
      <c r="S9" s="193">
        <f ca="1">IF(Worksheet!$C$4=Worksheet!$D$4,(IF(AND($U$4="Multi",$T$4="FY"),ROUND(((1+$O9)^(Worksheet!$B$20+2)*Worksheet!$F$9+(1+$O9)^(Worksheet!$B$20+3)*Worksheet!$F$10)/12*Request!$G9*Request!$K9,0),(IF(AND($U$4="Multi",$T$4="PY"),ROUND($G9*$K9*((1+$O9)^3)/12*Worksheet!$F$5,0),(IF(AND($U$4&lt;&gt;"Multi",$T$4="FY"),ROUND(((1+$U$4)^(Worksheet!$B$20+2)*Worksheet!$F$9+(1+$U$4)^(Worksheet!$B$20+3)*Worksheet!$F$10)/12*Request!$G9*Request!$K9,0),ROUND($G9*$K9*((1+$U$4)^3)/12*Worksheet!$F$5,0))))))),(IF(AND($U$4="Multi",$T$4="FY"),ROUND(((1+$O9)^(Worksheet!$B$20+3)*Worksheet!$F$9+(1+$O9)^(Worksheet!$B$20+4)*Worksheet!$F$10)/12*Request!$G9*Request!$K9,0),(IF(AND($U$4="Multi",$T$4="PY"),ROUND($G9*$K9*((1+$O9)^3)/12*Worksheet!$F$5,0),(IF(AND($U$4&lt;&gt;"Multi",$T$4="FY"),ROUND(((1+$U$4)^(Worksheet!$B$20+3)*Worksheet!$F$9+(1+$U$4)^(Worksheet!$B$20+4)*Worksheet!$F$10)/12*Request!$G9*Request!$K9,0),ROUND($G9*$K9*((1+$U$4)^3)/12*Worksheet!$F$5,0))))))))</f>
        <v>0</v>
      </c>
      <c r="T9" s="193">
        <f ca="1">IF(Worksheet!$C$4=Worksheet!$D$4,(IF(AND($U$4="Multi",$T$4="FY"),ROUND(((1+$O9)^(Worksheet!$B$20+3)*Worksheet!$G$9+(1+$O9)^(Worksheet!$B$20+4)*Worksheet!$G$10)/12*Request!$G9*Request!$L9,0),(IF(AND($U$4="Multi",$T$4="PY"),ROUND($G9*$L9*((1+$O9)^4)/12*Worksheet!$G$5,0),(IF(AND($U$4&lt;&gt;"Multi",$T$4="FY"),ROUND(((1+$U$4)^(Worksheet!$B$20+3)*Worksheet!$G$9+(1+$U$4)^(Worksheet!$B$20+4)*Worksheet!$G$10)/12*Request!$G9*Request!$L9,0),ROUND($G9*$L9*((1+$U$4)^4)/12*Worksheet!$G$5,0))))))),(IF(AND($U$4="Multi",$T$4="FY"),ROUND(((1+$O9)^(Worksheet!$B$20+4)*Worksheet!$G$9+(1+$O9)^(Worksheet!$B$20+5)*Worksheet!$G$10)/12*Request!$G9*Request!$L9,0),(IF(AND($U$4="Multi",$T$4="PY"),ROUND($G9*$L9*((1+$O9)^4)/12*Worksheet!$G$5,0),(IF(AND($U$4&lt;&gt;"Multi",$T$4="FY"),ROUND(((1+$U$4)^(Worksheet!$B$20+4)*Worksheet!$G$9+(1+$U$4)^(Worksheet!$B$20+5)*Worksheet!$G$10)/12*Request!$G9*Request!$L9,0),ROUND($G9*$L9*((1+$U$4)^4)/12*Worksheet!$G$5,0))))))))</f>
        <v>0</v>
      </c>
      <c r="U9" s="157">
        <f t="shared" ref="U9:U31" ca="1" si="1">SUM(P9:T9)</f>
        <v>13871</v>
      </c>
      <c r="V9" s="203"/>
      <c r="W9" s="203"/>
      <c r="X9" s="203"/>
      <c r="Y9" s="203"/>
      <c r="Z9" s="203"/>
      <c r="AA9" s="204"/>
      <c r="AB9" s="204"/>
      <c r="AC9" s="204"/>
      <c r="AD9" s="204"/>
      <c r="AE9" s="204"/>
      <c r="AF9" s="195"/>
      <c r="AG9" s="195"/>
      <c r="AH9" s="195"/>
      <c r="AI9" s="195"/>
      <c r="AJ9" s="195"/>
      <c r="AK9" s="195"/>
      <c r="AL9" s="195"/>
      <c r="AM9" s="195"/>
      <c r="AN9" s="195"/>
      <c r="AO9" s="195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</row>
    <row r="10" spans="1:53" x14ac:dyDescent="0.2">
      <c r="A10" s="161">
        <v>3</v>
      </c>
      <c r="B10" s="162"/>
      <c r="C10" s="162"/>
      <c r="D10" s="163"/>
      <c r="E10" s="257"/>
      <c r="F10" s="257"/>
      <c r="G10" s="266">
        <f t="shared" si="0"/>
        <v>0</v>
      </c>
      <c r="H10" s="303"/>
      <c r="I10" s="303"/>
      <c r="J10" s="303"/>
      <c r="K10" s="303"/>
      <c r="L10" s="303"/>
      <c r="M10" s="349" t="s">
        <v>237</v>
      </c>
      <c r="N10" s="350"/>
      <c r="O10" s="160">
        <v>0.03</v>
      </c>
      <c r="P10" s="193">
        <f ca="1">IF(AND($U$4="Multi",$T$4="FY"),ROUND(((1+$O10)^Worksheet!$B$20*Worksheet!$C$9+(1+$O10)^(Worksheet!$B$20+1)*Worksheet!$C$10)/12*Request!$G10*Request!$H10,0),(IF(AND($U$4="Multi",$T$4="PY"),ROUND(G10*H10/12*Worksheet!$C$5,0),(IF(AND($U$4&lt;&gt;"Multi",$T$4="FY"),ROUND(((1+$U$4)^Worksheet!$B$20*Worksheet!$C$9+(1+$U$4)^(Worksheet!$B$20+1)*Worksheet!$C$10)/12*Request!$G10*Request!$H10,0),ROUND($G10*$H10/12*Worksheet!$C$5,0))))))</f>
        <v>0</v>
      </c>
      <c r="Q10" s="193">
        <f ca="1">IF(Worksheet!$C$4=Worksheet!$D$4,(IF(AND($U$4="Multi",$T$4="FY"),ROUND(((1+$O10)^(Worksheet!$B$20)*Worksheet!$D$9+(1+$O10)^(Worksheet!$B$20+1)*Worksheet!$D$10)/12*Request!$G10*Request!$I10,0),(IF(AND($U$4="Multi",$T$4="PY"),ROUND($G10*$I10*(1+O10)/12*Worksheet!$D$5,0),(IF(AND($U$4&lt;&gt;"Multi",$T$4="FY"),ROUND(((1+$U$4)^(Worksheet!$B$20)*Worksheet!$D$9+(1+$U$4)^(Worksheet!$B$20+1)*Worksheet!$D$10)/12*Request!$G10*Request!$I10,0),ROUND($G10*$I10*(1+$U$4)/12*Worksheet!$D$5,0))))))),(IF(AND($U$4="Multi",$T$4="FY"),ROUND(((1+$O10)^(Worksheet!$B$20+1)*Worksheet!$D$9+(1+$O10)^(Worksheet!$B$20+2)*Worksheet!$D$10)/12*Request!$G10*Request!$I10,0),(IF(AND($U$4="Multi",$T$4="PY"),ROUND($G10*$I10*(1+O10)/12*Worksheet!$D$5,0),(IF(AND($U$4&lt;&gt;"Multi",$T$4="FY"),ROUND(((1+$U$4)^(Worksheet!$B$20+1)*Worksheet!$D$9+(1+$U$4)^(Worksheet!$B$20+2)*Worksheet!$D$10)/12*Request!$G10*Request!$I10,0),ROUND($G10*$I10*(1+$U$4)/12*Worksheet!$D$5,0))))))))</f>
        <v>0</v>
      </c>
      <c r="R10" s="193">
        <f ca="1">IF(Worksheet!$C$4=Worksheet!$D$4,(IF(AND($U$4="Multi",$T$4="FY"),ROUND(((1+$O10)^(Worksheet!$B$20+1)*Worksheet!$E$9+(1+$O10)^(Worksheet!$B$20+2)*Worksheet!$E$10)/12*Request!$G10*Request!J10,0),(IF(AND($U$4="Multi",$T$4="PY"),ROUND($G10*J10*((1+$O10)^2)/12*Worksheet!$E$5,0),(IF(AND($U$4&lt;&gt;"Multi",$T$4="FY"),ROUND(((1+$U$4)^(Worksheet!$B$20+1)*Worksheet!$E$9+(1+$U$4)^(Worksheet!$B$20+2)*Worksheet!$E$10)/12*Request!$G10*Request!J10,0),ROUND($G10*J10*((1+$U$4)^2)/12*Worksheet!$E$5,0))))))),(IF(AND($U$4="Multi",$T$4="FY"),ROUND(((1+$O10)^(Worksheet!$B$20+2)*Worksheet!$E$9+(1+$O10)^(Worksheet!$B$20+3)*Worksheet!$E$10)/12*Request!$G10*Request!J10,0),(IF(AND($U$4="Multi",$T$4="PY"),ROUND($G10*J10*((1+$O10)^2)/12*Worksheet!$E$5,0),(IF(AND($U$4&lt;&gt;"Multi",$T$4="FY"),ROUND(((1+$U$4)^(Worksheet!$B$20+2)*Worksheet!$E$9+(1+$U$4)^(Worksheet!$B$20+3)*Worksheet!$E$10)/12*Request!$G10*Request!J10,0),ROUND($G10*J10*((1+$U$4)^2)/12*Worksheet!$E$5,0))))))))</f>
        <v>0</v>
      </c>
      <c r="S10" s="193">
        <f ca="1">IF(Worksheet!$C$4=Worksheet!$D$4,(IF(AND($U$4="Multi",$T$4="FY"),ROUND(((1+$O10)^(Worksheet!$B$20+2)*Worksheet!$F$9+(1+$O10)^(Worksheet!$B$20+3)*Worksheet!$F$10)/12*Request!$G10*Request!$K10,0),(IF(AND($U$4="Multi",$T$4="PY"),ROUND($G10*$K10*((1+$O10)^3)/12*Worksheet!$F$5,0),(IF(AND($U$4&lt;&gt;"Multi",$T$4="FY"),ROUND(((1+$U$4)^(Worksheet!$B$20+2)*Worksheet!$F$9+(1+$U$4)^(Worksheet!$B$20+3)*Worksheet!$F$10)/12*Request!$G10*Request!$K10,0),ROUND($G10*$K10*((1+$U$4)^3)/12*Worksheet!$F$5,0))))))),(IF(AND($U$4="Multi",$T$4="FY"),ROUND(((1+$O10)^(Worksheet!$B$20+3)*Worksheet!$F$9+(1+$O10)^(Worksheet!$B$20+4)*Worksheet!$F$10)/12*Request!$G10*Request!$K10,0),(IF(AND($U$4="Multi",$T$4="PY"),ROUND($G10*$K10*((1+$O10)^3)/12*Worksheet!$F$5,0),(IF(AND($U$4&lt;&gt;"Multi",$T$4="FY"),ROUND(((1+$U$4)^(Worksheet!$B$20+3)*Worksheet!$F$9+(1+$U$4)^(Worksheet!$B$20+4)*Worksheet!$F$10)/12*Request!$G10*Request!$K10,0),ROUND($G10*$K10*((1+$U$4)^3)/12*Worksheet!$F$5,0))))))))</f>
        <v>0</v>
      </c>
      <c r="T10" s="193">
        <f ca="1">IF(Worksheet!$C$4=Worksheet!$D$4,(IF(AND($U$4="Multi",$T$4="FY"),ROUND(((1+$O10)^(Worksheet!$B$20+3)*Worksheet!$G$9+(1+$O10)^(Worksheet!$B$20+4)*Worksheet!$G$10)/12*Request!$G10*Request!$L10,0),(IF(AND($U$4="Multi",$T$4="PY"),ROUND($G10*$L10*((1+$O10)^4)/12*Worksheet!$G$5,0),(IF(AND($U$4&lt;&gt;"Multi",$T$4="FY"),ROUND(((1+$U$4)^(Worksheet!$B$20+3)*Worksheet!$G$9+(1+$U$4)^(Worksheet!$B$20+4)*Worksheet!$G$10)/12*Request!$G10*Request!$L10,0),ROUND($G10*$L10*((1+$U$4)^4)/12*Worksheet!$G$5,0))))))),(IF(AND($U$4="Multi",$T$4="FY"),ROUND(((1+$O10)^(Worksheet!$B$20+4)*Worksheet!$G$9+(1+$O10)^(Worksheet!$B$20+5)*Worksheet!$G$10)/12*Request!$G10*Request!$L10,0),(IF(AND($U$4="Multi",$T$4="PY"),ROUND($G10*$L10*((1+$O10)^4)/12*Worksheet!$G$5,0),(IF(AND($U$4&lt;&gt;"Multi",$T$4="FY"),ROUND(((1+$U$4)^(Worksheet!$B$20+4)*Worksheet!$G$9+(1+$U$4)^(Worksheet!$B$20+5)*Worksheet!$G$10)/12*Request!$G10*Request!$L10,0),ROUND($G10*$L10*((1+$U$4)^4)/12*Worksheet!$G$5,0))))))))</f>
        <v>0</v>
      </c>
      <c r="U10" s="157">
        <f t="shared" ca="1" si="1"/>
        <v>0</v>
      </c>
      <c r="V10" s="203"/>
      <c r="W10" s="203"/>
      <c r="X10" s="203"/>
      <c r="Y10" s="203"/>
      <c r="Z10" s="203"/>
      <c r="AA10" s="204"/>
      <c r="AB10" s="204"/>
      <c r="AC10" s="204"/>
      <c r="AD10" s="204"/>
      <c r="AE10" s="204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95"/>
      <c r="AX10" s="195"/>
      <c r="AY10" s="195"/>
      <c r="AZ10" s="195"/>
      <c r="BA10" s="195"/>
    </row>
    <row r="11" spans="1:53" x14ac:dyDescent="0.2">
      <c r="A11" s="161">
        <v>4</v>
      </c>
      <c r="B11" s="162"/>
      <c r="C11" s="162"/>
      <c r="D11" s="163"/>
      <c r="E11" s="257"/>
      <c r="F11" s="257"/>
      <c r="G11" s="266">
        <f t="shared" si="0"/>
        <v>0</v>
      </c>
      <c r="H11" s="303"/>
      <c r="I11" s="303"/>
      <c r="J11" s="303"/>
      <c r="K11" s="303"/>
      <c r="L11" s="303"/>
      <c r="M11" s="349" t="s">
        <v>237</v>
      </c>
      <c r="N11" s="350"/>
      <c r="O11" s="160">
        <v>0.03</v>
      </c>
      <c r="P11" s="193">
        <f ca="1">IF(AND($U$4="Multi",$T$4="FY"),ROUND(((1+$O11)^Worksheet!$B$20*Worksheet!$C$9+(1+$O11)^(Worksheet!$B$20+1)*Worksheet!$C$10)/12*Request!$G11*Request!$H11,0),(IF(AND($U$4="Multi",$T$4="PY"),ROUND(G11*H11/12*Worksheet!$C$5,0),(IF(AND($U$4&lt;&gt;"Multi",$T$4="FY"),ROUND(((1+$U$4)^Worksheet!$B$20*Worksheet!$C$9+(1+$U$4)^(Worksheet!$B$20+1)*Worksheet!$C$10)/12*Request!$G11*Request!$H11,0),ROUND($G11*$H11/12*Worksheet!$C$5,0))))))</f>
        <v>0</v>
      </c>
      <c r="Q11" s="193">
        <f ca="1">IF(Worksheet!$C$4=Worksheet!$D$4,(IF(AND($U$4="Multi",$T$4="FY"),ROUND(((1+$O11)^(Worksheet!$B$20)*Worksheet!$D$9+(1+$O11)^(Worksheet!$B$20+1)*Worksheet!$D$10)/12*Request!$G11*Request!$I11,0),(IF(AND($U$4="Multi",$T$4="PY"),ROUND($G11*$I11*(1+O11)/12*Worksheet!$D$5,0),(IF(AND($U$4&lt;&gt;"Multi",$T$4="FY"),ROUND(((1+$U$4)^(Worksheet!$B$20)*Worksheet!$D$9+(1+$U$4)^(Worksheet!$B$20+1)*Worksheet!$D$10)/12*Request!$G11*Request!$I11,0),ROUND($G11*$I11*(1+$U$4)/12*Worksheet!$D$5,0))))))),(IF(AND($U$4="Multi",$T$4="FY"),ROUND(((1+$O11)^(Worksheet!$B$20+1)*Worksheet!$D$9+(1+$O11)^(Worksheet!$B$20+2)*Worksheet!$D$10)/12*Request!$G11*Request!$I11,0),(IF(AND($U$4="Multi",$T$4="PY"),ROUND($G11*$I11*(1+O11)/12*Worksheet!$D$5,0),(IF(AND($U$4&lt;&gt;"Multi",$T$4="FY"),ROUND(((1+$U$4)^(Worksheet!$B$20+1)*Worksheet!$D$9+(1+$U$4)^(Worksheet!$B$20+2)*Worksheet!$D$10)/12*Request!$G11*Request!$I11,0),ROUND($G11*$I11*(1+$U$4)/12*Worksheet!$D$5,0))))))))</f>
        <v>0</v>
      </c>
      <c r="R11" s="193">
        <f ca="1">IF(Worksheet!$C$4=Worksheet!$D$4,(IF(AND($U$4="Multi",$T$4="FY"),ROUND(((1+$O11)^(Worksheet!$B$20+1)*Worksheet!$E$9+(1+$O11)^(Worksheet!$B$20+2)*Worksheet!$E$10)/12*Request!$G11*Request!J11,0),(IF(AND($U$4="Multi",$T$4="PY"),ROUND($G11*J11*((1+$O11)^2)/12*Worksheet!$E$5,0),(IF(AND($U$4&lt;&gt;"Multi",$T$4="FY"),ROUND(((1+$U$4)^(Worksheet!$B$20+1)*Worksheet!$E$9+(1+$U$4)^(Worksheet!$B$20+2)*Worksheet!$E$10)/12*Request!$G11*Request!J11,0),ROUND($G11*J11*((1+$U$4)^2)/12*Worksheet!$E$5,0))))))),(IF(AND($U$4="Multi",$T$4="FY"),ROUND(((1+$O11)^(Worksheet!$B$20+2)*Worksheet!$E$9+(1+$O11)^(Worksheet!$B$20+3)*Worksheet!$E$10)/12*Request!$G11*Request!J11,0),(IF(AND($U$4="Multi",$T$4="PY"),ROUND($G11*J11*((1+$O11)^2)/12*Worksheet!$E$5,0),(IF(AND($U$4&lt;&gt;"Multi",$T$4="FY"),ROUND(((1+$U$4)^(Worksheet!$B$20+2)*Worksheet!$E$9+(1+$U$4)^(Worksheet!$B$20+3)*Worksheet!$E$10)/12*Request!$G11*Request!J11,0),ROUND($G11*J11*((1+$U$4)^2)/12*Worksheet!$E$5,0))))))))</f>
        <v>0</v>
      </c>
      <c r="S11" s="193">
        <f ca="1">IF(Worksheet!$C$4=Worksheet!$D$4,(IF(AND($U$4="Multi",$T$4="FY"),ROUND(((1+$O11)^(Worksheet!$B$20+2)*Worksheet!$F$9+(1+$O11)^(Worksheet!$B$20+3)*Worksheet!$F$10)/12*Request!$G11*Request!$K11,0),(IF(AND($U$4="Multi",$T$4="PY"),ROUND($G11*$K11*((1+$O11)^3)/12*Worksheet!$F$5,0),(IF(AND($U$4&lt;&gt;"Multi",$T$4="FY"),ROUND(((1+$U$4)^(Worksheet!$B$20+2)*Worksheet!$F$9+(1+$U$4)^(Worksheet!$B$20+3)*Worksheet!$F$10)/12*Request!$G11*Request!$K11,0),ROUND($G11*$K11*((1+$U$4)^3)/12*Worksheet!$F$5,0))))))),(IF(AND($U$4="Multi",$T$4="FY"),ROUND(((1+$O11)^(Worksheet!$B$20+3)*Worksheet!$F$9+(1+$O11)^(Worksheet!$B$20+4)*Worksheet!$F$10)/12*Request!$G11*Request!$K11,0),(IF(AND($U$4="Multi",$T$4="PY"),ROUND($G11*$K11*((1+$O11)^3)/12*Worksheet!$F$5,0),(IF(AND($U$4&lt;&gt;"Multi",$T$4="FY"),ROUND(((1+$U$4)^(Worksheet!$B$20+3)*Worksheet!$F$9+(1+$U$4)^(Worksheet!$B$20+4)*Worksheet!$F$10)/12*Request!$G11*Request!$K11,0),ROUND($G11*$K11*((1+$U$4)^3)/12*Worksheet!$F$5,0))))))))</f>
        <v>0</v>
      </c>
      <c r="T11" s="193">
        <f ca="1">IF(Worksheet!$C$4=Worksheet!$D$4,(IF(AND($U$4="Multi",$T$4="FY"),ROUND(((1+$O11)^(Worksheet!$B$20+3)*Worksheet!$G$9+(1+$O11)^(Worksheet!$B$20+4)*Worksheet!$G$10)/12*Request!$G11*Request!$L11,0),(IF(AND($U$4="Multi",$T$4="PY"),ROUND($G11*$L11*((1+$O11)^4)/12*Worksheet!$G$5,0),(IF(AND($U$4&lt;&gt;"Multi",$T$4="FY"),ROUND(((1+$U$4)^(Worksheet!$B$20+3)*Worksheet!$G$9+(1+$U$4)^(Worksheet!$B$20+4)*Worksheet!$G$10)/12*Request!$G11*Request!$L11,0),ROUND($G11*$L11*((1+$U$4)^4)/12*Worksheet!$G$5,0))))))),(IF(AND($U$4="Multi",$T$4="FY"),ROUND(((1+$O11)^(Worksheet!$B$20+4)*Worksheet!$G$9+(1+$O11)^(Worksheet!$B$20+5)*Worksheet!$G$10)/12*Request!$G11*Request!$L11,0),(IF(AND($U$4="Multi",$T$4="PY"),ROUND($G11*$L11*((1+$O11)^4)/12*Worksheet!$G$5,0),(IF(AND($U$4&lt;&gt;"Multi",$T$4="FY"),ROUND(((1+$U$4)^(Worksheet!$B$20+4)*Worksheet!$G$9+(1+$U$4)^(Worksheet!$B$20+5)*Worksheet!$G$10)/12*Request!$G11*Request!$L11,0),ROUND($G11*$L11*((1+$U$4)^4)/12*Worksheet!$G$5,0))))))))</f>
        <v>0</v>
      </c>
      <c r="U11" s="157">
        <f t="shared" ca="1" si="1"/>
        <v>0</v>
      </c>
      <c r="V11" s="203"/>
      <c r="W11" s="203"/>
      <c r="X11" s="203"/>
      <c r="Y11" s="203"/>
      <c r="Z11" s="203"/>
      <c r="AA11" s="204"/>
      <c r="AB11" s="204"/>
      <c r="AC11" s="204"/>
      <c r="AD11" s="204"/>
      <c r="AE11" s="204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</row>
    <row r="12" spans="1:53" x14ac:dyDescent="0.2">
      <c r="A12" s="161">
        <v>5</v>
      </c>
      <c r="B12" s="162"/>
      <c r="C12" s="162"/>
      <c r="D12" s="163"/>
      <c r="E12" s="257"/>
      <c r="F12" s="257"/>
      <c r="G12" s="266">
        <f t="shared" si="0"/>
        <v>0</v>
      </c>
      <c r="H12" s="303"/>
      <c r="I12" s="303"/>
      <c r="J12" s="303"/>
      <c r="K12" s="303"/>
      <c r="L12" s="303"/>
      <c r="M12" s="349" t="s">
        <v>237</v>
      </c>
      <c r="N12" s="350"/>
      <c r="O12" s="160">
        <v>0.03</v>
      </c>
      <c r="P12" s="193">
        <f ca="1">IF(AND($U$4="Multi",$T$4="FY"),ROUND(((1+$O12)^Worksheet!$B$20*Worksheet!$C$9+(1+$O12)^(Worksheet!$B$20+1)*Worksheet!$C$10)/12*Request!$G12*Request!$H12,0),(IF(AND($U$4="Multi",$T$4="PY"),ROUND(G12*H12/12*Worksheet!$C$5,0),(IF(AND($U$4&lt;&gt;"Multi",$T$4="FY"),ROUND(((1+$U$4)^Worksheet!$B$20*Worksheet!$C$9+(1+$U$4)^(Worksheet!$B$20+1)*Worksheet!$C$10)/12*Request!$G12*Request!$H12,0),ROUND($G12*$H12/12*Worksheet!$C$5,0))))))</f>
        <v>0</v>
      </c>
      <c r="Q12" s="193">
        <f ca="1">IF(Worksheet!$C$4=Worksheet!$D$4,(IF(AND($U$4="Multi",$T$4="FY"),ROUND(((1+$O12)^(Worksheet!$B$20)*Worksheet!$D$9+(1+$O12)^(Worksheet!$B$20+1)*Worksheet!$D$10)/12*Request!$G12*Request!$I12,0),(IF(AND($U$4="Multi",$T$4="PY"),ROUND($G12*$I12*(1+O12)/12*Worksheet!$D$5,0),(IF(AND($U$4&lt;&gt;"Multi",$T$4="FY"),ROUND(((1+$U$4)^(Worksheet!$B$20)*Worksheet!$D$9+(1+$U$4)^(Worksheet!$B$20+1)*Worksheet!$D$10)/12*Request!$G12*Request!$I12,0),ROUND($G12*$I12*(1+$U$4)/12*Worksheet!$D$5,0))))))),(IF(AND($U$4="Multi",$T$4="FY"),ROUND(((1+$O12)^(Worksheet!$B$20+1)*Worksheet!$D$9+(1+$O12)^(Worksheet!$B$20+2)*Worksheet!$D$10)/12*Request!$G12*Request!$I12,0),(IF(AND($U$4="Multi",$T$4="PY"),ROUND($G12*$I12*(1+O12)/12*Worksheet!$D$5,0),(IF(AND($U$4&lt;&gt;"Multi",$T$4="FY"),ROUND(((1+$U$4)^(Worksheet!$B$20+1)*Worksheet!$D$9+(1+$U$4)^(Worksheet!$B$20+2)*Worksheet!$D$10)/12*Request!$G12*Request!$I12,0),ROUND($G12*$I12*(1+$U$4)/12*Worksheet!$D$5,0))))))))</f>
        <v>0</v>
      </c>
      <c r="R12" s="193">
        <f ca="1">IF(Worksheet!$C$4=Worksheet!$D$4,(IF(AND($U$4="Multi",$T$4="FY"),ROUND(((1+$O12)^(Worksheet!$B$20+1)*Worksheet!$E$9+(1+$O12)^(Worksheet!$B$20+2)*Worksheet!$E$10)/12*Request!$G12*Request!J12,0),(IF(AND($U$4="Multi",$T$4="PY"),ROUND($G12*J12*((1+$O12)^2)/12*Worksheet!$E$5,0),(IF(AND($U$4&lt;&gt;"Multi",$T$4="FY"),ROUND(((1+$U$4)^(Worksheet!$B$20+1)*Worksheet!$E$9+(1+$U$4)^(Worksheet!$B$20+2)*Worksheet!$E$10)/12*Request!$G12*Request!J12,0),ROUND($G12*J12*((1+$U$4)^2)/12*Worksheet!$E$5,0))))))),(IF(AND($U$4="Multi",$T$4="FY"),ROUND(((1+$O12)^(Worksheet!$B$20+2)*Worksheet!$E$9+(1+$O12)^(Worksheet!$B$20+3)*Worksheet!$E$10)/12*Request!$G12*Request!J12,0),(IF(AND($U$4="Multi",$T$4="PY"),ROUND($G12*J12*((1+$O12)^2)/12*Worksheet!$E$5,0),(IF(AND($U$4&lt;&gt;"Multi",$T$4="FY"),ROUND(((1+$U$4)^(Worksheet!$B$20+2)*Worksheet!$E$9+(1+$U$4)^(Worksheet!$B$20+3)*Worksheet!$E$10)/12*Request!$G12*Request!J12,0),ROUND($G12*J12*((1+$U$4)^2)/12*Worksheet!$E$5,0))))))))</f>
        <v>0</v>
      </c>
      <c r="S12" s="193">
        <f ca="1">IF(Worksheet!$C$4=Worksheet!$D$4,(IF(AND($U$4="Multi",$T$4="FY"),ROUND(((1+$O12)^(Worksheet!$B$20+2)*Worksheet!$F$9+(1+$O12)^(Worksheet!$B$20+3)*Worksheet!$F$10)/12*Request!$G12*Request!$K12,0),(IF(AND($U$4="Multi",$T$4="PY"),ROUND($G12*$K12*((1+$O12)^3)/12*Worksheet!$F$5,0),(IF(AND($U$4&lt;&gt;"Multi",$T$4="FY"),ROUND(((1+$U$4)^(Worksheet!$B$20+2)*Worksheet!$F$9+(1+$U$4)^(Worksheet!$B$20+3)*Worksheet!$F$10)/12*Request!$G12*Request!$K12,0),ROUND($G12*$K12*((1+$U$4)^3)/12*Worksheet!$F$5,0))))))),(IF(AND($U$4="Multi",$T$4="FY"),ROUND(((1+$O12)^(Worksheet!$B$20+3)*Worksheet!$F$9+(1+$O12)^(Worksheet!$B$20+4)*Worksheet!$F$10)/12*Request!$G12*Request!$K12,0),(IF(AND($U$4="Multi",$T$4="PY"),ROUND($G12*$K12*((1+$O12)^3)/12*Worksheet!$F$5,0),(IF(AND($U$4&lt;&gt;"Multi",$T$4="FY"),ROUND(((1+$U$4)^(Worksheet!$B$20+3)*Worksheet!$F$9+(1+$U$4)^(Worksheet!$B$20+4)*Worksheet!$F$10)/12*Request!$G12*Request!$K12,0),ROUND($G12*$K12*((1+$U$4)^3)/12*Worksheet!$F$5,0))))))))</f>
        <v>0</v>
      </c>
      <c r="T12" s="193">
        <f ca="1">IF(Worksheet!$C$4=Worksheet!$D$4,(IF(AND($U$4="Multi",$T$4="FY"),ROUND(((1+$O12)^(Worksheet!$B$20+3)*Worksheet!$G$9+(1+$O12)^(Worksheet!$B$20+4)*Worksheet!$G$10)/12*Request!$G12*Request!$L12,0),(IF(AND($U$4="Multi",$T$4="PY"),ROUND($G12*$L12*((1+$O12)^4)/12*Worksheet!$G$5,0),(IF(AND($U$4&lt;&gt;"Multi",$T$4="FY"),ROUND(((1+$U$4)^(Worksheet!$B$20+3)*Worksheet!$G$9+(1+$U$4)^(Worksheet!$B$20+4)*Worksheet!$G$10)/12*Request!$G12*Request!$L12,0),ROUND($G12*$L12*((1+$U$4)^4)/12*Worksheet!$G$5,0))))))),(IF(AND($U$4="Multi",$T$4="FY"),ROUND(((1+$O12)^(Worksheet!$B$20+4)*Worksheet!$G$9+(1+$O12)^(Worksheet!$B$20+5)*Worksheet!$G$10)/12*Request!$G12*Request!$L12,0),(IF(AND($U$4="Multi",$T$4="PY"),ROUND($G12*$L12*((1+$O12)^4)/12*Worksheet!$G$5,0),(IF(AND($U$4&lt;&gt;"Multi",$T$4="FY"),ROUND(((1+$U$4)^(Worksheet!$B$20+4)*Worksheet!$G$9+(1+$U$4)^(Worksheet!$B$20+5)*Worksheet!$G$10)/12*Request!$G12*Request!$L12,0),ROUND($G12*$L12*((1+$U$4)^4)/12*Worksheet!$G$5,0))))))))</f>
        <v>0</v>
      </c>
      <c r="U12" s="157">
        <f t="shared" ca="1" si="1"/>
        <v>0</v>
      </c>
      <c r="V12" s="203"/>
      <c r="W12" s="203"/>
      <c r="X12" s="203"/>
      <c r="Y12" s="203"/>
      <c r="Z12" s="203"/>
      <c r="AA12" s="204"/>
      <c r="AB12" s="204"/>
      <c r="AC12" s="204"/>
      <c r="AD12" s="204"/>
      <c r="AE12" s="204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</row>
    <row r="13" spans="1:53" x14ac:dyDescent="0.2">
      <c r="A13" s="161">
        <v>6</v>
      </c>
      <c r="B13" s="162"/>
      <c r="C13" s="162"/>
      <c r="D13" s="163"/>
      <c r="E13" s="257"/>
      <c r="F13" s="257"/>
      <c r="G13" s="266">
        <f t="shared" si="0"/>
        <v>0</v>
      </c>
      <c r="H13" s="303"/>
      <c r="I13" s="303"/>
      <c r="J13" s="303"/>
      <c r="K13" s="303"/>
      <c r="L13" s="303"/>
      <c r="M13" s="349" t="s">
        <v>237</v>
      </c>
      <c r="N13" s="350"/>
      <c r="O13" s="160">
        <v>0.03</v>
      </c>
      <c r="P13" s="193">
        <f ca="1">IF(AND($U$4="Multi",$T$4="FY"),ROUND(((1+$O13)^Worksheet!$B$20*Worksheet!$C$9+(1+$O13)^(Worksheet!$B$20+1)*Worksheet!$C$10)/12*Request!$G13*Request!$H13,0),(IF(AND($U$4="Multi",$T$4="PY"),ROUND(G13*H13/12*Worksheet!$C$5,0),(IF(AND($U$4&lt;&gt;"Multi",$T$4="FY"),ROUND(((1+$U$4)^Worksheet!$B$20*Worksheet!$C$9+(1+$U$4)^(Worksheet!$B$20+1)*Worksheet!$C$10)/12*Request!$G13*Request!$H13,0),ROUND($G13*$H13/12*Worksheet!$C$5,0))))))</f>
        <v>0</v>
      </c>
      <c r="Q13" s="193">
        <f ca="1">IF(Worksheet!$C$4=Worksheet!$D$4,(IF(AND($U$4="Multi",$T$4="FY"),ROUND(((1+$O13)^(Worksheet!$B$20)*Worksheet!$D$9+(1+$O13)^(Worksheet!$B$20+1)*Worksheet!$D$10)/12*Request!$G13*Request!$I13,0),(IF(AND($U$4="Multi",$T$4="PY"),ROUND($G13*$I13*(1+O13)/12*Worksheet!$D$5,0),(IF(AND($U$4&lt;&gt;"Multi",$T$4="FY"),ROUND(((1+$U$4)^(Worksheet!$B$20)*Worksheet!$D$9+(1+$U$4)^(Worksheet!$B$20+1)*Worksheet!$D$10)/12*Request!$G13*Request!$I13,0),ROUND($G13*$I13*(1+$U$4)/12*Worksheet!$D$5,0))))))),(IF(AND($U$4="Multi",$T$4="FY"),ROUND(((1+$O13)^(Worksheet!$B$20+1)*Worksheet!$D$9+(1+$O13)^(Worksheet!$B$20+2)*Worksheet!$D$10)/12*Request!$G13*Request!$I13,0),(IF(AND($U$4="Multi",$T$4="PY"),ROUND($G13*$I13*(1+O13)/12*Worksheet!$D$5,0),(IF(AND($U$4&lt;&gt;"Multi",$T$4="FY"),ROUND(((1+$U$4)^(Worksheet!$B$20+1)*Worksheet!$D$9+(1+$U$4)^(Worksheet!$B$20+2)*Worksheet!$D$10)/12*Request!$G13*Request!$I13,0),ROUND($G13*$I13*(1+$U$4)/12*Worksheet!$D$5,0))))))))</f>
        <v>0</v>
      </c>
      <c r="R13" s="193">
        <f ca="1">IF(Worksheet!$C$4=Worksheet!$D$4,(IF(AND($U$4="Multi",$T$4="FY"),ROUND(((1+$O13)^(Worksheet!$B$20+1)*Worksheet!$E$9+(1+$O13)^(Worksheet!$B$20+2)*Worksheet!$E$10)/12*Request!$G13*Request!J13,0),(IF(AND($U$4="Multi",$T$4="PY"),ROUND($G13*J13*((1+$O13)^2)/12*Worksheet!$E$5,0),(IF(AND($U$4&lt;&gt;"Multi",$T$4="FY"),ROUND(((1+$U$4)^(Worksheet!$B$20+1)*Worksheet!$E$9+(1+$U$4)^(Worksheet!$B$20+2)*Worksheet!$E$10)/12*Request!$G13*Request!J13,0),ROUND($G13*J13*((1+$U$4)^2)/12*Worksheet!$E$5,0))))))),(IF(AND($U$4="Multi",$T$4="FY"),ROUND(((1+$O13)^(Worksheet!$B$20+2)*Worksheet!$E$9+(1+$O13)^(Worksheet!$B$20+3)*Worksheet!$E$10)/12*Request!$G13*Request!J13,0),(IF(AND($U$4="Multi",$T$4="PY"),ROUND($G13*J13*((1+$O13)^2)/12*Worksheet!$E$5,0),(IF(AND($U$4&lt;&gt;"Multi",$T$4="FY"),ROUND(((1+$U$4)^(Worksheet!$B$20+2)*Worksheet!$E$9+(1+$U$4)^(Worksheet!$B$20+3)*Worksheet!$E$10)/12*Request!$G13*Request!J13,0),ROUND($G13*J13*((1+$U$4)^2)/12*Worksheet!$E$5,0))))))))</f>
        <v>0</v>
      </c>
      <c r="S13" s="193">
        <f ca="1">IF(Worksheet!$C$4=Worksheet!$D$4,(IF(AND($U$4="Multi",$T$4="FY"),ROUND(((1+$O13)^(Worksheet!$B$20+2)*Worksheet!$F$9+(1+$O13)^(Worksheet!$B$20+3)*Worksheet!$F$10)/12*Request!$G13*Request!$K13,0),(IF(AND($U$4="Multi",$T$4="PY"),ROUND($G13*$K13*((1+$O13)^3)/12*Worksheet!$F$5,0),(IF(AND($U$4&lt;&gt;"Multi",$T$4="FY"),ROUND(((1+$U$4)^(Worksheet!$B$20+2)*Worksheet!$F$9+(1+$U$4)^(Worksheet!$B$20+3)*Worksheet!$F$10)/12*Request!$G13*Request!$K13,0),ROUND($G13*$K13*((1+$U$4)^3)/12*Worksheet!$F$5,0))))))),(IF(AND($U$4="Multi",$T$4="FY"),ROUND(((1+$O13)^(Worksheet!$B$20+3)*Worksheet!$F$9+(1+$O13)^(Worksheet!$B$20+4)*Worksheet!$F$10)/12*Request!$G13*Request!$K13,0),(IF(AND($U$4="Multi",$T$4="PY"),ROUND($G13*$K13*((1+$O13)^3)/12*Worksheet!$F$5,0),(IF(AND($U$4&lt;&gt;"Multi",$T$4="FY"),ROUND(((1+$U$4)^(Worksheet!$B$20+3)*Worksheet!$F$9+(1+$U$4)^(Worksheet!$B$20+4)*Worksheet!$F$10)/12*Request!$G13*Request!$K13,0),ROUND($G13*$K13*((1+$U$4)^3)/12*Worksheet!$F$5,0))))))))</f>
        <v>0</v>
      </c>
      <c r="T13" s="193">
        <f ca="1">IF(Worksheet!$C$4=Worksheet!$D$4,(IF(AND($U$4="Multi",$T$4="FY"),ROUND(((1+$O13)^(Worksheet!$B$20+3)*Worksheet!$G$9+(1+$O13)^(Worksheet!$B$20+4)*Worksheet!$G$10)/12*Request!$G13*Request!$L13,0),(IF(AND($U$4="Multi",$T$4="PY"),ROUND($G13*$L13*((1+$O13)^4)/12*Worksheet!$G$5,0),(IF(AND($U$4&lt;&gt;"Multi",$T$4="FY"),ROUND(((1+$U$4)^(Worksheet!$B$20+3)*Worksheet!$G$9+(1+$U$4)^(Worksheet!$B$20+4)*Worksheet!$G$10)/12*Request!$G13*Request!$L13,0),ROUND($G13*$L13*((1+$U$4)^4)/12*Worksheet!$G$5,0))))))),(IF(AND($U$4="Multi",$T$4="FY"),ROUND(((1+$O13)^(Worksheet!$B$20+4)*Worksheet!$G$9+(1+$O13)^(Worksheet!$B$20+5)*Worksheet!$G$10)/12*Request!$G13*Request!$L13,0),(IF(AND($U$4="Multi",$T$4="PY"),ROUND($G13*$L13*((1+$O13)^4)/12*Worksheet!$G$5,0),(IF(AND($U$4&lt;&gt;"Multi",$T$4="FY"),ROUND(((1+$U$4)^(Worksheet!$B$20+4)*Worksheet!$G$9+(1+$U$4)^(Worksheet!$B$20+5)*Worksheet!$G$10)/12*Request!$G13*Request!$L13,0),ROUND($G13*$L13*((1+$U$4)^4)/12*Worksheet!$G$5,0))))))))</f>
        <v>0</v>
      </c>
      <c r="U13" s="157">
        <f t="shared" ca="1" si="1"/>
        <v>0</v>
      </c>
      <c r="V13" s="203"/>
      <c r="W13" s="203"/>
      <c r="X13" s="203"/>
      <c r="Y13" s="203"/>
      <c r="Z13" s="203"/>
      <c r="AA13" s="204"/>
      <c r="AB13" s="204"/>
      <c r="AC13" s="204"/>
      <c r="AD13" s="204"/>
      <c r="AE13" s="204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</row>
    <row r="14" spans="1:53" x14ac:dyDescent="0.2">
      <c r="A14" s="161">
        <v>7</v>
      </c>
      <c r="B14" s="162"/>
      <c r="C14" s="162"/>
      <c r="D14" s="163"/>
      <c r="E14" s="257"/>
      <c r="F14" s="257"/>
      <c r="G14" s="266">
        <f t="shared" si="0"/>
        <v>0</v>
      </c>
      <c r="H14" s="303"/>
      <c r="I14" s="303"/>
      <c r="J14" s="303"/>
      <c r="K14" s="303"/>
      <c r="L14" s="303"/>
      <c r="M14" s="349" t="s">
        <v>237</v>
      </c>
      <c r="N14" s="350"/>
      <c r="O14" s="160">
        <v>0.03</v>
      </c>
      <c r="P14" s="193">
        <f ca="1">IF(AND($U$4="Multi",$T$4="FY"),ROUND(((1+$O14)^Worksheet!$B$20*Worksheet!$C$9+(1+$O14)^(Worksheet!$B$20+1)*Worksheet!$C$10)/12*Request!$G14*Request!$H14,0),(IF(AND($U$4="Multi",$T$4="PY"),ROUND(G14*H14/12*Worksheet!$C$5,0),(IF(AND($U$4&lt;&gt;"Multi",$T$4="FY"),ROUND(((1+$U$4)^Worksheet!$B$20*Worksheet!$C$9+(1+$U$4)^(Worksheet!$B$20+1)*Worksheet!$C$10)/12*Request!$G14*Request!$H14,0),ROUND($G14*$H14/12*Worksheet!$C$5,0))))))</f>
        <v>0</v>
      </c>
      <c r="Q14" s="193">
        <f ca="1">IF(Worksheet!$C$4=Worksheet!$D$4,(IF(AND($U$4="Multi",$T$4="FY"),ROUND(((1+$O14)^(Worksheet!$B$20)*Worksheet!$D$9+(1+$O14)^(Worksheet!$B$20+1)*Worksheet!$D$10)/12*Request!$G14*Request!$I14,0),(IF(AND($U$4="Multi",$T$4="PY"),ROUND($G14*$I14*(1+O14)/12*Worksheet!$D$5,0),(IF(AND($U$4&lt;&gt;"Multi",$T$4="FY"),ROUND(((1+$U$4)^(Worksheet!$B$20)*Worksheet!$D$9+(1+$U$4)^(Worksheet!$B$20+1)*Worksheet!$D$10)/12*Request!$G14*Request!$I14,0),ROUND($G14*$I14*(1+$U$4)/12*Worksheet!$D$5,0))))))),(IF(AND($U$4="Multi",$T$4="FY"),ROUND(((1+$O14)^(Worksheet!$B$20+1)*Worksheet!$D$9+(1+$O14)^(Worksheet!$B$20+2)*Worksheet!$D$10)/12*Request!$G14*Request!$I14,0),(IF(AND($U$4="Multi",$T$4="PY"),ROUND($G14*$I14*(1+O14)/12*Worksheet!$D$5,0),(IF(AND($U$4&lt;&gt;"Multi",$T$4="FY"),ROUND(((1+$U$4)^(Worksheet!$B$20+1)*Worksheet!$D$9+(1+$U$4)^(Worksheet!$B$20+2)*Worksheet!$D$10)/12*Request!$G14*Request!$I14,0),ROUND($G14*$I14*(1+$U$4)/12*Worksheet!$D$5,0))))))))</f>
        <v>0</v>
      </c>
      <c r="R14" s="193">
        <f ca="1">IF(Worksheet!$C$4=Worksheet!$D$4,(IF(AND($U$4="Multi",$T$4="FY"),ROUND(((1+$O14)^(Worksheet!$B$20+1)*Worksheet!$E$9+(1+$O14)^(Worksheet!$B$20+2)*Worksheet!$E$10)/12*Request!$G14*Request!J14,0),(IF(AND($U$4="Multi",$T$4="PY"),ROUND($G14*J14*((1+$O14)^2)/12*Worksheet!$E$5,0),(IF(AND($U$4&lt;&gt;"Multi",$T$4="FY"),ROUND(((1+$U$4)^(Worksheet!$B$20+1)*Worksheet!$E$9+(1+$U$4)^(Worksheet!$B$20+2)*Worksheet!$E$10)/12*Request!$G14*Request!J14,0),ROUND($G14*J14*((1+$U$4)^2)/12*Worksheet!$E$5,0))))))),(IF(AND($U$4="Multi",$T$4="FY"),ROUND(((1+$O14)^(Worksheet!$B$20+2)*Worksheet!$E$9+(1+$O14)^(Worksheet!$B$20+3)*Worksheet!$E$10)/12*Request!$G14*Request!J14,0),(IF(AND($U$4="Multi",$T$4="PY"),ROUND($G14*J14*((1+$O14)^2)/12*Worksheet!$E$5,0),(IF(AND($U$4&lt;&gt;"Multi",$T$4="FY"),ROUND(((1+$U$4)^(Worksheet!$B$20+2)*Worksheet!$E$9+(1+$U$4)^(Worksheet!$B$20+3)*Worksheet!$E$10)/12*Request!$G14*Request!J14,0),ROUND($G14*J14*((1+$U$4)^2)/12*Worksheet!$E$5,0))))))))</f>
        <v>0</v>
      </c>
      <c r="S14" s="193">
        <f ca="1">IF(Worksheet!$C$4=Worksheet!$D$4,(IF(AND($U$4="Multi",$T$4="FY"),ROUND(((1+$O14)^(Worksheet!$B$20+2)*Worksheet!$F$9+(1+$O14)^(Worksheet!$B$20+3)*Worksheet!$F$10)/12*Request!$G14*Request!$K14,0),(IF(AND($U$4="Multi",$T$4="PY"),ROUND($G14*$K14*((1+$O14)^3)/12*Worksheet!$F$5,0),(IF(AND($U$4&lt;&gt;"Multi",$T$4="FY"),ROUND(((1+$U$4)^(Worksheet!$B$20+2)*Worksheet!$F$9+(1+$U$4)^(Worksheet!$B$20+3)*Worksheet!$F$10)/12*Request!$G14*Request!$K14,0),ROUND($G14*$K14*((1+$U$4)^3)/12*Worksheet!$F$5,0))))))),(IF(AND($U$4="Multi",$T$4="FY"),ROUND(((1+$O14)^(Worksheet!$B$20+3)*Worksheet!$F$9+(1+$O14)^(Worksheet!$B$20+4)*Worksheet!$F$10)/12*Request!$G14*Request!$K14,0),(IF(AND($U$4="Multi",$T$4="PY"),ROUND($G14*$K14*((1+$O14)^3)/12*Worksheet!$F$5,0),(IF(AND($U$4&lt;&gt;"Multi",$T$4="FY"),ROUND(((1+$U$4)^(Worksheet!$B$20+3)*Worksheet!$F$9+(1+$U$4)^(Worksheet!$B$20+4)*Worksheet!$F$10)/12*Request!$G14*Request!$K14,0),ROUND($G14*$K14*((1+$U$4)^3)/12*Worksheet!$F$5,0))))))))</f>
        <v>0</v>
      </c>
      <c r="T14" s="193">
        <f ca="1">IF(Worksheet!$C$4=Worksheet!$D$4,(IF(AND($U$4="Multi",$T$4="FY"),ROUND(((1+$O14)^(Worksheet!$B$20+3)*Worksheet!$G$9+(1+$O14)^(Worksheet!$B$20+4)*Worksheet!$G$10)/12*Request!$G14*Request!$L14,0),(IF(AND($U$4="Multi",$T$4="PY"),ROUND($G14*$L14*((1+$O14)^4)/12*Worksheet!$G$5,0),(IF(AND($U$4&lt;&gt;"Multi",$T$4="FY"),ROUND(((1+$U$4)^(Worksheet!$B$20+3)*Worksheet!$G$9+(1+$U$4)^(Worksheet!$B$20+4)*Worksheet!$G$10)/12*Request!$G14*Request!$L14,0),ROUND($G14*$L14*((1+$U$4)^4)/12*Worksheet!$G$5,0))))))),(IF(AND($U$4="Multi",$T$4="FY"),ROUND(((1+$O14)^(Worksheet!$B$20+4)*Worksheet!$G$9+(1+$O14)^(Worksheet!$B$20+5)*Worksheet!$G$10)/12*Request!$G14*Request!$L14,0),(IF(AND($U$4="Multi",$T$4="PY"),ROUND($G14*$L14*((1+$O14)^4)/12*Worksheet!$G$5,0),(IF(AND($U$4&lt;&gt;"Multi",$T$4="FY"),ROUND(((1+$U$4)^(Worksheet!$B$20+4)*Worksheet!$G$9+(1+$U$4)^(Worksheet!$B$20+5)*Worksheet!$G$10)/12*Request!$G14*Request!$L14,0),ROUND($G14*$L14*((1+$U$4)^4)/12*Worksheet!$G$5,0))))))))</f>
        <v>0</v>
      </c>
      <c r="U14" s="157">
        <f t="shared" ca="1" si="1"/>
        <v>0</v>
      </c>
      <c r="V14" s="203"/>
      <c r="W14" s="203"/>
      <c r="X14" s="203"/>
      <c r="Y14" s="203"/>
      <c r="Z14" s="203"/>
      <c r="AA14" s="204"/>
      <c r="AB14" s="204"/>
      <c r="AC14" s="204"/>
      <c r="AD14" s="204"/>
      <c r="AE14" s="204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</row>
    <row r="15" spans="1:53" x14ac:dyDescent="0.2">
      <c r="A15" s="161">
        <v>8</v>
      </c>
      <c r="B15" s="162"/>
      <c r="C15" s="162"/>
      <c r="D15" s="163"/>
      <c r="E15" s="257"/>
      <c r="F15" s="257"/>
      <c r="G15" s="266">
        <f t="shared" si="0"/>
        <v>0</v>
      </c>
      <c r="H15" s="303"/>
      <c r="I15" s="303"/>
      <c r="J15" s="303"/>
      <c r="K15" s="303"/>
      <c r="L15" s="303"/>
      <c r="M15" s="349" t="s">
        <v>237</v>
      </c>
      <c r="N15" s="350"/>
      <c r="O15" s="160">
        <v>0.03</v>
      </c>
      <c r="P15" s="193">
        <f ca="1">IF(AND($U$4="Multi",$T$4="FY"),ROUND(((1+$O15)^Worksheet!$B$20*Worksheet!$C$9+(1+$O15)^(Worksheet!$B$20+1)*Worksheet!$C$10)/12*Request!$G15*Request!$H15,0),(IF(AND($U$4="Multi",$T$4="PY"),ROUND(G15*H15/12*Worksheet!$C$5,0),(IF(AND($U$4&lt;&gt;"Multi",$T$4="FY"),ROUND(((1+$U$4)^Worksheet!$B$20*Worksheet!$C$9+(1+$U$4)^(Worksheet!$B$20+1)*Worksheet!$C$10)/12*Request!$G15*Request!$H15,0),ROUND($G15*$H15/12*Worksheet!$C$5,0))))))</f>
        <v>0</v>
      </c>
      <c r="Q15" s="193">
        <f ca="1">IF(Worksheet!$C$4=Worksheet!$D$4,(IF(AND($U$4="Multi",$T$4="FY"),ROUND(((1+$O15)^(Worksheet!$B$20)*Worksheet!$D$9+(1+$O15)^(Worksheet!$B$20+1)*Worksheet!$D$10)/12*Request!$G15*Request!$I15,0),(IF(AND($U$4="Multi",$T$4="PY"),ROUND($G15*$I15*(1+O15)/12*Worksheet!$D$5,0),(IF(AND($U$4&lt;&gt;"Multi",$T$4="FY"),ROUND(((1+$U$4)^(Worksheet!$B$20)*Worksheet!$D$9+(1+$U$4)^(Worksheet!$B$20+1)*Worksheet!$D$10)/12*Request!$G15*Request!$I15,0),ROUND($G15*$I15*(1+$U$4)/12*Worksheet!$D$5,0))))))),(IF(AND($U$4="Multi",$T$4="FY"),ROUND(((1+$O15)^(Worksheet!$B$20+1)*Worksheet!$D$9+(1+$O15)^(Worksheet!$B$20+2)*Worksheet!$D$10)/12*Request!$G15*Request!$I15,0),(IF(AND($U$4="Multi",$T$4="PY"),ROUND($G15*$I15*(1+O15)/12*Worksheet!$D$5,0),(IF(AND($U$4&lt;&gt;"Multi",$T$4="FY"),ROUND(((1+$U$4)^(Worksheet!$B$20+1)*Worksheet!$D$9+(1+$U$4)^(Worksheet!$B$20+2)*Worksheet!$D$10)/12*Request!$G15*Request!$I15,0),ROUND($G15*$I15*(1+$U$4)/12*Worksheet!$D$5,0))))))))</f>
        <v>0</v>
      </c>
      <c r="R15" s="193">
        <f ca="1">IF(Worksheet!$C$4=Worksheet!$D$4,(IF(AND($U$4="Multi",$T$4="FY"),ROUND(((1+$O15)^(Worksheet!$B$20+1)*Worksheet!$E$9+(1+$O15)^(Worksheet!$B$20+2)*Worksheet!$E$10)/12*Request!$G15*Request!J15,0),(IF(AND($U$4="Multi",$T$4="PY"),ROUND($G15*J15*((1+$O15)^2)/12*Worksheet!$E$5,0),(IF(AND($U$4&lt;&gt;"Multi",$T$4="FY"),ROUND(((1+$U$4)^(Worksheet!$B$20+1)*Worksheet!$E$9+(1+$U$4)^(Worksheet!$B$20+2)*Worksheet!$E$10)/12*Request!$G15*Request!J15,0),ROUND($G15*J15*((1+$U$4)^2)/12*Worksheet!$E$5,0))))))),(IF(AND($U$4="Multi",$T$4="FY"),ROUND(((1+$O15)^(Worksheet!$B$20+2)*Worksheet!$E$9+(1+$O15)^(Worksheet!$B$20+3)*Worksheet!$E$10)/12*Request!$G15*Request!J15,0),(IF(AND($U$4="Multi",$T$4="PY"),ROUND($G15*J15*((1+$O15)^2)/12*Worksheet!$E$5,0),(IF(AND($U$4&lt;&gt;"Multi",$T$4="FY"),ROUND(((1+$U$4)^(Worksheet!$B$20+2)*Worksheet!$E$9+(1+$U$4)^(Worksheet!$B$20+3)*Worksheet!$E$10)/12*Request!$G15*Request!J15,0),ROUND($G15*J15*((1+$U$4)^2)/12*Worksheet!$E$5,0))))))))</f>
        <v>0</v>
      </c>
      <c r="S15" s="193">
        <f ca="1">IF(Worksheet!$C$4=Worksheet!$D$4,(IF(AND($U$4="Multi",$T$4="FY"),ROUND(((1+$O15)^(Worksheet!$B$20+2)*Worksheet!$F$9+(1+$O15)^(Worksheet!$B$20+3)*Worksheet!$F$10)/12*Request!$G15*Request!$K15,0),(IF(AND($U$4="Multi",$T$4="PY"),ROUND($G15*$K15*((1+$O15)^3)/12*Worksheet!$F$5,0),(IF(AND($U$4&lt;&gt;"Multi",$T$4="FY"),ROUND(((1+$U$4)^(Worksheet!$B$20+2)*Worksheet!$F$9+(1+$U$4)^(Worksheet!$B$20+3)*Worksheet!$F$10)/12*Request!$G15*Request!$K15,0),ROUND($G15*$K15*((1+$U$4)^3)/12*Worksheet!$F$5,0))))))),(IF(AND($U$4="Multi",$T$4="FY"),ROUND(((1+$O15)^(Worksheet!$B$20+3)*Worksheet!$F$9+(1+$O15)^(Worksheet!$B$20+4)*Worksheet!$F$10)/12*Request!$G15*Request!$K15,0),(IF(AND($U$4="Multi",$T$4="PY"),ROUND($G15*$K15*((1+$O15)^3)/12*Worksheet!$F$5,0),(IF(AND($U$4&lt;&gt;"Multi",$T$4="FY"),ROUND(((1+$U$4)^(Worksheet!$B$20+3)*Worksheet!$F$9+(1+$U$4)^(Worksheet!$B$20+4)*Worksheet!$F$10)/12*Request!$G15*Request!$K15,0),ROUND($G15*$K15*((1+$U$4)^3)/12*Worksheet!$F$5,0))))))))</f>
        <v>0</v>
      </c>
      <c r="T15" s="193">
        <f ca="1">IF(Worksheet!$C$4=Worksheet!$D$4,(IF(AND($U$4="Multi",$T$4="FY"),ROUND(((1+$O15)^(Worksheet!$B$20+3)*Worksheet!$G$9+(1+$O15)^(Worksheet!$B$20+4)*Worksheet!$G$10)/12*Request!$G15*Request!$L15,0),(IF(AND($U$4="Multi",$T$4="PY"),ROUND($G15*$L15*((1+$O15)^4)/12*Worksheet!$G$5,0),(IF(AND($U$4&lt;&gt;"Multi",$T$4="FY"),ROUND(((1+$U$4)^(Worksheet!$B$20+3)*Worksheet!$G$9+(1+$U$4)^(Worksheet!$B$20+4)*Worksheet!$G$10)/12*Request!$G15*Request!$L15,0),ROUND($G15*$L15*((1+$U$4)^4)/12*Worksheet!$G$5,0))))))),(IF(AND($U$4="Multi",$T$4="FY"),ROUND(((1+$O15)^(Worksheet!$B$20+4)*Worksheet!$G$9+(1+$O15)^(Worksheet!$B$20+5)*Worksheet!$G$10)/12*Request!$G15*Request!$L15,0),(IF(AND($U$4="Multi",$T$4="PY"),ROUND($G15*$L15*((1+$O15)^4)/12*Worksheet!$G$5,0),(IF(AND($U$4&lt;&gt;"Multi",$T$4="FY"),ROUND(((1+$U$4)^(Worksheet!$B$20+4)*Worksheet!$G$9+(1+$U$4)^(Worksheet!$B$20+5)*Worksheet!$G$10)/12*Request!$G15*Request!$L15,0),ROUND($G15*$L15*((1+$U$4)^4)/12*Worksheet!$G$5,0))))))))</f>
        <v>0</v>
      </c>
      <c r="U15" s="157">
        <f t="shared" ca="1" si="1"/>
        <v>0</v>
      </c>
      <c r="V15" s="203"/>
      <c r="W15" s="203"/>
      <c r="X15" s="203"/>
      <c r="Y15" s="203"/>
      <c r="Z15" s="203"/>
      <c r="AA15" s="204"/>
      <c r="AB15" s="204"/>
      <c r="AC15" s="204"/>
      <c r="AD15" s="204"/>
      <c r="AE15" s="204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</row>
    <row r="16" spans="1:53" x14ac:dyDescent="0.2">
      <c r="A16" s="161">
        <v>9</v>
      </c>
      <c r="B16" s="162"/>
      <c r="C16" s="162"/>
      <c r="D16" s="163"/>
      <c r="E16" s="257"/>
      <c r="F16" s="257"/>
      <c r="G16" s="266">
        <f t="shared" si="0"/>
        <v>0</v>
      </c>
      <c r="H16" s="303"/>
      <c r="I16" s="303"/>
      <c r="J16" s="303"/>
      <c r="K16" s="303"/>
      <c r="L16" s="303"/>
      <c r="M16" s="349" t="s">
        <v>237</v>
      </c>
      <c r="N16" s="350"/>
      <c r="O16" s="160">
        <v>0.03</v>
      </c>
      <c r="P16" s="193">
        <f ca="1">IF(AND($U$4="Multi",$T$4="FY"),ROUND(((1+$O16)^Worksheet!$B$20*Worksheet!$C$9+(1+$O16)^(Worksheet!$B$20+1)*Worksheet!$C$10)/12*Request!$G16*Request!$H16,0),(IF(AND($U$4="Multi",$T$4="PY"),ROUND(G16*H16/12*Worksheet!$C$5,0),(IF(AND($U$4&lt;&gt;"Multi",$T$4="FY"),ROUND(((1+$U$4)^Worksheet!$B$20*Worksheet!$C$9+(1+$U$4)^(Worksheet!$B$20+1)*Worksheet!$C$10)/12*Request!$G16*Request!$H16,0),ROUND($G16*$H16/12*Worksheet!$C$5,0))))))</f>
        <v>0</v>
      </c>
      <c r="Q16" s="193">
        <f ca="1">IF(Worksheet!$C$4=Worksheet!$D$4,(IF(AND($U$4="Multi",$T$4="FY"),ROUND(((1+$O16)^(Worksheet!$B$20)*Worksheet!$D$9+(1+$O16)^(Worksheet!$B$20+1)*Worksheet!$D$10)/12*Request!$G16*Request!$I16,0),(IF(AND($U$4="Multi",$T$4="PY"),ROUND($G16*$I16*(1+O16)/12*Worksheet!$D$5,0),(IF(AND($U$4&lt;&gt;"Multi",$T$4="FY"),ROUND(((1+$U$4)^(Worksheet!$B$20)*Worksheet!$D$9+(1+$U$4)^(Worksheet!$B$20+1)*Worksheet!$D$10)/12*Request!$G16*Request!$I16,0),ROUND($G16*$I16*(1+$U$4)/12*Worksheet!$D$5,0))))))),(IF(AND($U$4="Multi",$T$4="FY"),ROUND(((1+$O16)^(Worksheet!$B$20+1)*Worksheet!$D$9+(1+$O16)^(Worksheet!$B$20+2)*Worksheet!$D$10)/12*Request!$G16*Request!$I16,0),(IF(AND($U$4="Multi",$T$4="PY"),ROUND($G16*$I16*(1+O16)/12*Worksheet!$D$5,0),(IF(AND($U$4&lt;&gt;"Multi",$T$4="FY"),ROUND(((1+$U$4)^(Worksheet!$B$20+1)*Worksheet!$D$9+(1+$U$4)^(Worksheet!$B$20+2)*Worksheet!$D$10)/12*Request!$G16*Request!$I16,0),ROUND($G16*$I16*(1+$U$4)/12*Worksheet!$D$5,0))))))))</f>
        <v>0</v>
      </c>
      <c r="R16" s="193">
        <f ca="1">IF(Worksheet!$C$4=Worksheet!$D$4,(IF(AND($U$4="Multi",$T$4="FY"),ROUND(((1+$O16)^(Worksheet!$B$20+1)*Worksheet!$E$9+(1+$O16)^(Worksheet!$B$20+2)*Worksheet!$E$10)/12*Request!$G16*Request!J16,0),(IF(AND($U$4="Multi",$T$4="PY"),ROUND($G16*J16*((1+$O16)^2)/12*Worksheet!$E$5,0),(IF(AND($U$4&lt;&gt;"Multi",$T$4="FY"),ROUND(((1+$U$4)^(Worksheet!$B$20+1)*Worksheet!$E$9+(1+$U$4)^(Worksheet!$B$20+2)*Worksheet!$E$10)/12*Request!$G16*Request!J16,0),ROUND($G16*J16*((1+$U$4)^2)/12*Worksheet!$E$5,0))))))),(IF(AND($U$4="Multi",$T$4="FY"),ROUND(((1+$O16)^(Worksheet!$B$20+2)*Worksheet!$E$9+(1+$O16)^(Worksheet!$B$20+3)*Worksheet!$E$10)/12*Request!$G16*Request!J16,0),(IF(AND($U$4="Multi",$T$4="PY"),ROUND($G16*J16*((1+$O16)^2)/12*Worksheet!$E$5,0),(IF(AND($U$4&lt;&gt;"Multi",$T$4="FY"),ROUND(((1+$U$4)^(Worksheet!$B$20+2)*Worksheet!$E$9+(1+$U$4)^(Worksheet!$B$20+3)*Worksheet!$E$10)/12*Request!$G16*Request!J16,0),ROUND($G16*J16*((1+$U$4)^2)/12*Worksheet!$E$5,0))))))))</f>
        <v>0</v>
      </c>
      <c r="S16" s="193">
        <f ca="1">IF(Worksheet!$C$4=Worksheet!$D$4,(IF(AND($U$4="Multi",$T$4="FY"),ROUND(((1+$O16)^(Worksheet!$B$20+2)*Worksheet!$F$9+(1+$O16)^(Worksheet!$B$20+3)*Worksheet!$F$10)/12*Request!$G16*Request!$K16,0),(IF(AND($U$4="Multi",$T$4="PY"),ROUND($G16*$K16*((1+$O16)^3)/12*Worksheet!$F$5,0),(IF(AND($U$4&lt;&gt;"Multi",$T$4="FY"),ROUND(((1+$U$4)^(Worksheet!$B$20+2)*Worksheet!$F$9+(1+$U$4)^(Worksheet!$B$20+3)*Worksheet!$F$10)/12*Request!$G16*Request!$K16,0),ROUND($G16*$K16*((1+$U$4)^3)/12*Worksheet!$F$5,0))))))),(IF(AND($U$4="Multi",$T$4="FY"),ROUND(((1+$O16)^(Worksheet!$B$20+3)*Worksheet!$F$9+(1+$O16)^(Worksheet!$B$20+4)*Worksheet!$F$10)/12*Request!$G16*Request!$K16,0),(IF(AND($U$4="Multi",$T$4="PY"),ROUND($G16*$K16*((1+$O16)^3)/12*Worksheet!$F$5,0),(IF(AND($U$4&lt;&gt;"Multi",$T$4="FY"),ROUND(((1+$U$4)^(Worksheet!$B$20+3)*Worksheet!$F$9+(1+$U$4)^(Worksheet!$B$20+4)*Worksheet!$F$10)/12*Request!$G16*Request!$K16,0),ROUND($G16*$K16*((1+$U$4)^3)/12*Worksheet!$F$5,0))))))))</f>
        <v>0</v>
      </c>
      <c r="T16" s="193">
        <f ca="1">IF(Worksheet!$C$4=Worksheet!$D$4,(IF(AND($U$4="Multi",$T$4="FY"),ROUND(((1+$O16)^(Worksheet!$B$20+3)*Worksheet!$G$9+(1+$O16)^(Worksheet!$B$20+4)*Worksheet!$G$10)/12*Request!$G16*Request!$L16,0),(IF(AND($U$4="Multi",$T$4="PY"),ROUND($G16*$L16*((1+$O16)^4)/12*Worksheet!$G$5,0),(IF(AND($U$4&lt;&gt;"Multi",$T$4="FY"),ROUND(((1+$U$4)^(Worksheet!$B$20+3)*Worksheet!$G$9+(1+$U$4)^(Worksheet!$B$20+4)*Worksheet!$G$10)/12*Request!$G16*Request!$L16,0),ROUND($G16*$L16*((1+$U$4)^4)/12*Worksheet!$G$5,0))))))),(IF(AND($U$4="Multi",$T$4="FY"),ROUND(((1+$O16)^(Worksheet!$B$20+4)*Worksheet!$G$9+(1+$O16)^(Worksheet!$B$20+5)*Worksheet!$G$10)/12*Request!$G16*Request!$L16,0),(IF(AND($U$4="Multi",$T$4="PY"),ROUND($G16*$L16*((1+$O16)^4)/12*Worksheet!$G$5,0),(IF(AND($U$4&lt;&gt;"Multi",$T$4="FY"),ROUND(((1+$U$4)^(Worksheet!$B$20+4)*Worksheet!$G$9+(1+$U$4)^(Worksheet!$B$20+5)*Worksheet!$G$10)/12*Request!$G16*Request!$L16,0),ROUND($G16*$L16*((1+$U$4)^4)/12*Worksheet!$G$5,0))))))))</f>
        <v>0</v>
      </c>
      <c r="U16" s="157">
        <f t="shared" ca="1" si="1"/>
        <v>0</v>
      </c>
      <c r="V16" s="203"/>
      <c r="W16" s="203"/>
      <c r="X16" s="203"/>
      <c r="Y16" s="203"/>
      <c r="Z16" s="203"/>
      <c r="AA16" s="204"/>
      <c r="AB16" s="204"/>
      <c r="AC16" s="204"/>
      <c r="AD16" s="204"/>
      <c r="AE16" s="204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</row>
    <row r="17" spans="1:53" x14ac:dyDescent="0.2">
      <c r="A17" s="161">
        <v>10</v>
      </c>
      <c r="B17" s="162"/>
      <c r="C17" s="162"/>
      <c r="D17" s="163"/>
      <c r="E17" s="257"/>
      <c r="F17" s="257"/>
      <c r="G17" s="266">
        <f t="shared" si="0"/>
        <v>0</v>
      </c>
      <c r="H17" s="303"/>
      <c r="I17" s="303"/>
      <c r="J17" s="303"/>
      <c r="K17" s="303"/>
      <c r="L17" s="303"/>
      <c r="M17" s="349" t="s">
        <v>237</v>
      </c>
      <c r="N17" s="350"/>
      <c r="O17" s="160">
        <v>0.03</v>
      </c>
      <c r="P17" s="193">
        <f ca="1">IF(AND($U$4="Multi",$T$4="FY"),ROUND(((1+$O17)^Worksheet!$B$20*Worksheet!$C$9+(1+$O17)^(Worksheet!$B$20+1)*Worksheet!$C$10)/12*Request!$G17*Request!$H17,0),(IF(AND($U$4="Multi",$T$4="PY"),ROUND(G17*H17/12*Worksheet!$C$5,0),(IF(AND($U$4&lt;&gt;"Multi",$T$4="FY"),ROUND(((1+$U$4)^Worksheet!$B$20*Worksheet!$C$9+(1+$U$4)^(Worksheet!$B$20+1)*Worksheet!$C$10)/12*Request!$G17*Request!$H17,0),ROUND($G17*$H17/12*Worksheet!$C$5,0))))))</f>
        <v>0</v>
      </c>
      <c r="Q17" s="193">
        <f ca="1">IF(Worksheet!$C$4=Worksheet!$D$4,(IF(AND($U$4="Multi",$T$4="FY"),ROUND(((1+$O17)^(Worksheet!$B$20)*Worksheet!$D$9+(1+$O17)^(Worksheet!$B$20+1)*Worksheet!$D$10)/12*Request!$G17*Request!$I17,0),(IF(AND($U$4="Multi",$T$4="PY"),ROUND($G17*$I17*(1+O17)/12*Worksheet!$D$5,0),(IF(AND($U$4&lt;&gt;"Multi",$T$4="FY"),ROUND(((1+$U$4)^(Worksheet!$B$20)*Worksheet!$D$9+(1+$U$4)^(Worksheet!$B$20+1)*Worksheet!$D$10)/12*Request!$G17*Request!$I17,0),ROUND($G17*$I17*(1+$U$4)/12*Worksheet!$D$5,0))))))),(IF(AND($U$4="Multi",$T$4="FY"),ROUND(((1+$O17)^(Worksheet!$B$20+1)*Worksheet!$D$9+(1+$O17)^(Worksheet!$B$20+2)*Worksheet!$D$10)/12*Request!$G17*Request!$I17,0),(IF(AND($U$4="Multi",$T$4="PY"),ROUND($G17*$I17*(1+O17)/12*Worksheet!$D$5,0),(IF(AND($U$4&lt;&gt;"Multi",$T$4="FY"),ROUND(((1+$U$4)^(Worksheet!$B$20+1)*Worksheet!$D$9+(1+$U$4)^(Worksheet!$B$20+2)*Worksheet!$D$10)/12*Request!$G17*Request!$I17,0),ROUND($G17*$I17*(1+$U$4)/12*Worksheet!$D$5,0))))))))</f>
        <v>0</v>
      </c>
      <c r="R17" s="193">
        <f ca="1">IF(Worksheet!$C$4=Worksheet!$D$4,(IF(AND($U$4="Multi",$T$4="FY"),ROUND(((1+$O17)^(Worksheet!$B$20+1)*Worksheet!$E$9+(1+$O17)^(Worksheet!$B$20+2)*Worksheet!$E$10)/12*Request!$G17*Request!J17,0),(IF(AND($U$4="Multi",$T$4="PY"),ROUND($G17*J17*((1+$O17)^2)/12*Worksheet!$E$5,0),(IF(AND($U$4&lt;&gt;"Multi",$T$4="FY"),ROUND(((1+$U$4)^(Worksheet!$B$20+1)*Worksheet!$E$9+(1+$U$4)^(Worksheet!$B$20+2)*Worksheet!$E$10)/12*Request!$G17*Request!J17,0),ROUND($G17*J17*((1+$U$4)^2)/12*Worksheet!$E$5,0))))))),(IF(AND($U$4="Multi",$T$4="FY"),ROUND(((1+$O17)^(Worksheet!$B$20+2)*Worksheet!$E$9+(1+$O17)^(Worksheet!$B$20+3)*Worksheet!$E$10)/12*Request!$G17*Request!J17,0),(IF(AND($U$4="Multi",$T$4="PY"),ROUND($G17*J17*((1+$O17)^2)/12*Worksheet!$E$5,0),(IF(AND($U$4&lt;&gt;"Multi",$T$4="FY"),ROUND(((1+$U$4)^(Worksheet!$B$20+2)*Worksheet!$E$9+(1+$U$4)^(Worksheet!$B$20+3)*Worksheet!$E$10)/12*Request!$G17*Request!J17,0),ROUND($G17*J17*((1+$U$4)^2)/12*Worksheet!$E$5,0))))))))</f>
        <v>0</v>
      </c>
      <c r="S17" s="193">
        <f ca="1">IF(Worksheet!$C$4=Worksheet!$D$4,(IF(AND($U$4="Multi",$T$4="FY"),ROUND(((1+$O17)^(Worksheet!$B$20+2)*Worksheet!$F$9+(1+$O17)^(Worksheet!$B$20+3)*Worksheet!$F$10)/12*Request!$G17*Request!$K17,0),(IF(AND($U$4="Multi",$T$4="PY"),ROUND($G17*$K17*((1+$O17)^3)/12*Worksheet!$F$5,0),(IF(AND($U$4&lt;&gt;"Multi",$T$4="FY"),ROUND(((1+$U$4)^(Worksheet!$B$20+2)*Worksheet!$F$9+(1+$U$4)^(Worksheet!$B$20+3)*Worksheet!$F$10)/12*Request!$G17*Request!$K17,0),ROUND($G17*$K17*((1+$U$4)^3)/12*Worksheet!$F$5,0))))))),(IF(AND($U$4="Multi",$T$4="FY"),ROUND(((1+$O17)^(Worksheet!$B$20+3)*Worksheet!$F$9+(1+$O17)^(Worksheet!$B$20+4)*Worksheet!$F$10)/12*Request!$G17*Request!$K17,0),(IF(AND($U$4="Multi",$T$4="PY"),ROUND($G17*$K17*((1+$O17)^3)/12*Worksheet!$F$5,0),(IF(AND($U$4&lt;&gt;"Multi",$T$4="FY"),ROUND(((1+$U$4)^(Worksheet!$B$20+3)*Worksheet!$F$9+(1+$U$4)^(Worksheet!$B$20+4)*Worksheet!$F$10)/12*Request!$G17*Request!$K17,0),ROUND($G17*$K17*((1+$U$4)^3)/12*Worksheet!$F$5,0))))))))</f>
        <v>0</v>
      </c>
      <c r="T17" s="193">
        <f ca="1">IF(Worksheet!$C$4=Worksheet!$D$4,(IF(AND($U$4="Multi",$T$4="FY"),ROUND(((1+$O17)^(Worksheet!$B$20+3)*Worksheet!$G$9+(1+$O17)^(Worksheet!$B$20+4)*Worksheet!$G$10)/12*Request!$G17*Request!$L17,0),(IF(AND($U$4="Multi",$T$4="PY"),ROUND($G17*$L17*((1+$O17)^4)/12*Worksheet!$G$5,0),(IF(AND($U$4&lt;&gt;"Multi",$T$4="FY"),ROUND(((1+$U$4)^(Worksheet!$B$20+3)*Worksheet!$G$9+(1+$U$4)^(Worksheet!$B$20+4)*Worksheet!$G$10)/12*Request!$G17*Request!$L17,0),ROUND($G17*$L17*((1+$U$4)^4)/12*Worksheet!$G$5,0))))))),(IF(AND($U$4="Multi",$T$4="FY"),ROUND(((1+$O17)^(Worksheet!$B$20+4)*Worksheet!$G$9+(1+$O17)^(Worksheet!$B$20+5)*Worksheet!$G$10)/12*Request!$G17*Request!$L17,0),(IF(AND($U$4="Multi",$T$4="PY"),ROUND($G17*$L17*((1+$O17)^4)/12*Worksheet!$G$5,0),(IF(AND($U$4&lt;&gt;"Multi",$T$4="FY"),ROUND(((1+$U$4)^(Worksheet!$B$20+4)*Worksheet!$G$9+(1+$U$4)^(Worksheet!$B$20+5)*Worksheet!$G$10)/12*Request!$G17*Request!$L17,0),ROUND($G17*$L17*((1+$U$4)^4)/12*Worksheet!$G$5,0))))))))</f>
        <v>0</v>
      </c>
      <c r="U17" s="157">
        <f t="shared" ca="1" si="1"/>
        <v>0</v>
      </c>
      <c r="V17" s="203"/>
      <c r="W17" s="203"/>
      <c r="X17" s="203"/>
      <c r="Y17" s="203"/>
      <c r="Z17" s="203"/>
      <c r="AA17" s="204"/>
      <c r="AB17" s="204"/>
      <c r="AC17" s="204"/>
      <c r="AD17" s="204"/>
      <c r="AE17" s="204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</row>
    <row r="18" spans="1:53" x14ac:dyDescent="0.2">
      <c r="A18" s="161">
        <v>11</v>
      </c>
      <c r="B18" s="162"/>
      <c r="C18" s="162"/>
      <c r="D18" s="163"/>
      <c r="E18" s="257"/>
      <c r="F18" s="257"/>
      <c r="G18" s="266">
        <f t="shared" si="0"/>
        <v>0</v>
      </c>
      <c r="H18" s="303"/>
      <c r="I18" s="303"/>
      <c r="J18" s="303"/>
      <c r="K18" s="303"/>
      <c r="L18" s="303"/>
      <c r="M18" s="349" t="s">
        <v>237</v>
      </c>
      <c r="N18" s="350"/>
      <c r="O18" s="160">
        <v>0.03</v>
      </c>
      <c r="P18" s="193">
        <f ca="1">IF(AND($U$4="Multi",$T$4="FY"),ROUND(((1+$O18)^Worksheet!$B$20*Worksheet!$C$9+(1+$O18)^(Worksheet!$B$20+1)*Worksheet!$C$10)/12*Request!$G18*Request!$H18,0),(IF(AND($U$4="Multi",$T$4="PY"),ROUND(G18*H18/12*Worksheet!$C$5,0),(IF(AND($U$4&lt;&gt;"Multi",$T$4="FY"),ROUND(((1+$U$4)^Worksheet!$B$20*Worksheet!$C$9+(1+$U$4)^(Worksheet!$B$20+1)*Worksheet!$C$10)/12*Request!$G18*Request!$H18,0),ROUND($G18*$H18/12*Worksheet!$C$5,0))))))</f>
        <v>0</v>
      </c>
      <c r="Q18" s="193">
        <f ca="1">IF(Worksheet!$C$4=Worksheet!$D$4,(IF(AND($U$4="Multi",$T$4="FY"),ROUND(((1+$O18)^(Worksheet!$B$20)*Worksheet!$D$9+(1+$O18)^(Worksheet!$B$20+1)*Worksheet!$D$10)/12*Request!$G18*Request!$I18,0),(IF(AND($U$4="Multi",$T$4="PY"),ROUND($G18*$I18*(1+O18)/12*Worksheet!$D$5,0),(IF(AND($U$4&lt;&gt;"Multi",$T$4="FY"),ROUND(((1+$U$4)^(Worksheet!$B$20)*Worksheet!$D$9+(1+$U$4)^(Worksheet!$B$20+1)*Worksheet!$D$10)/12*Request!$G18*Request!$I18,0),ROUND($G18*$I18*(1+$U$4)/12*Worksheet!$D$5,0))))))),(IF(AND($U$4="Multi",$T$4="FY"),ROUND(((1+$O18)^(Worksheet!$B$20+1)*Worksheet!$D$9+(1+$O18)^(Worksheet!$B$20+2)*Worksheet!$D$10)/12*Request!$G18*Request!$I18,0),(IF(AND($U$4="Multi",$T$4="PY"),ROUND($G18*$I18*(1+O18)/12*Worksheet!$D$5,0),(IF(AND($U$4&lt;&gt;"Multi",$T$4="FY"),ROUND(((1+$U$4)^(Worksheet!$B$20+1)*Worksheet!$D$9+(1+$U$4)^(Worksheet!$B$20+2)*Worksheet!$D$10)/12*Request!$G18*Request!$I18,0),ROUND($G18*$I18*(1+$U$4)/12*Worksheet!$D$5,0))))))))</f>
        <v>0</v>
      </c>
      <c r="R18" s="193">
        <f ca="1">IF(Worksheet!$C$4=Worksheet!$D$4,(IF(AND($U$4="Multi",$T$4="FY"),ROUND(((1+$O18)^(Worksheet!$B$20+1)*Worksheet!$E$9+(1+$O18)^(Worksheet!$B$20+2)*Worksheet!$E$10)/12*Request!$G18*Request!J18,0),(IF(AND($U$4="Multi",$T$4="PY"),ROUND($G18*J18*((1+$O18)^2)/12*Worksheet!$E$5,0),(IF(AND($U$4&lt;&gt;"Multi",$T$4="FY"),ROUND(((1+$U$4)^(Worksheet!$B$20+1)*Worksheet!$E$9+(1+$U$4)^(Worksheet!$B$20+2)*Worksheet!$E$10)/12*Request!$G18*Request!J18,0),ROUND($G18*J18*((1+$U$4)^2)/12*Worksheet!$E$5,0))))))),(IF(AND($U$4="Multi",$T$4="FY"),ROUND(((1+$O18)^(Worksheet!$B$20+2)*Worksheet!$E$9+(1+$O18)^(Worksheet!$B$20+3)*Worksheet!$E$10)/12*Request!$G18*Request!J18,0),(IF(AND($U$4="Multi",$T$4="PY"),ROUND($G18*J18*((1+$O18)^2)/12*Worksheet!$E$5,0),(IF(AND($U$4&lt;&gt;"Multi",$T$4="FY"),ROUND(((1+$U$4)^(Worksheet!$B$20+2)*Worksheet!$E$9+(1+$U$4)^(Worksheet!$B$20+3)*Worksheet!$E$10)/12*Request!$G18*Request!J18,0),ROUND($G18*J18*((1+$U$4)^2)/12*Worksheet!$E$5,0))))))))</f>
        <v>0</v>
      </c>
      <c r="S18" s="193">
        <f ca="1">IF(Worksheet!$C$4=Worksheet!$D$4,(IF(AND($U$4="Multi",$T$4="FY"),ROUND(((1+$O18)^(Worksheet!$B$20+2)*Worksheet!$F$9+(1+$O18)^(Worksheet!$B$20+3)*Worksheet!$F$10)/12*Request!$G18*Request!$K18,0),(IF(AND($U$4="Multi",$T$4="PY"),ROUND($G18*$K18*((1+$O18)^3)/12*Worksheet!$F$5,0),(IF(AND($U$4&lt;&gt;"Multi",$T$4="FY"),ROUND(((1+$U$4)^(Worksheet!$B$20+2)*Worksheet!$F$9+(1+$U$4)^(Worksheet!$B$20+3)*Worksheet!$F$10)/12*Request!$G18*Request!$K18,0),ROUND($G18*$K18*((1+$U$4)^3)/12*Worksheet!$F$5,0))))))),(IF(AND($U$4="Multi",$T$4="FY"),ROUND(((1+$O18)^(Worksheet!$B$20+3)*Worksheet!$F$9+(1+$O18)^(Worksheet!$B$20+4)*Worksheet!$F$10)/12*Request!$G18*Request!$K18,0),(IF(AND($U$4="Multi",$T$4="PY"),ROUND($G18*$K18*((1+$O18)^3)/12*Worksheet!$F$5,0),(IF(AND($U$4&lt;&gt;"Multi",$T$4="FY"),ROUND(((1+$U$4)^(Worksheet!$B$20+3)*Worksheet!$F$9+(1+$U$4)^(Worksheet!$B$20+4)*Worksheet!$F$10)/12*Request!$G18*Request!$K18,0),ROUND($G18*$K18*((1+$U$4)^3)/12*Worksheet!$F$5,0))))))))</f>
        <v>0</v>
      </c>
      <c r="T18" s="193">
        <f ca="1">IF(Worksheet!$C$4=Worksheet!$D$4,(IF(AND($U$4="Multi",$T$4="FY"),ROUND(((1+$O18)^(Worksheet!$B$20+3)*Worksheet!$G$9+(1+$O18)^(Worksheet!$B$20+4)*Worksheet!$G$10)/12*Request!$G18*Request!$L18,0),(IF(AND($U$4="Multi",$T$4="PY"),ROUND($G18*$L18*((1+$O18)^4)/12*Worksheet!$G$5,0),(IF(AND($U$4&lt;&gt;"Multi",$T$4="FY"),ROUND(((1+$U$4)^(Worksheet!$B$20+3)*Worksheet!$G$9+(1+$U$4)^(Worksheet!$B$20+4)*Worksheet!$G$10)/12*Request!$G18*Request!$L18,0),ROUND($G18*$L18*((1+$U$4)^4)/12*Worksheet!$G$5,0))))))),(IF(AND($U$4="Multi",$T$4="FY"),ROUND(((1+$O18)^(Worksheet!$B$20+4)*Worksheet!$G$9+(1+$O18)^(Worksheet!$B$20+5)*Worksheet!$G$10)/12*Request!$G18*Request!$L18,0),(IF(AND($U$4="Multi",$T$4="PY"),ROUND($G18*$L18*((1+$O18)^4)/12*Worksheet!$G$5,0),(IF(AND($U$4&lt;&gt;"Multi",$T$4="FY"),ROUND(((1+$U$4)^(Worksheet!$B$20+4)*Worksheet!$G$9+(1+$U$4)^(Worksheet!$B$20+5)*Worksheet!$G$10)/12*Request!$G18*Request!$L18,0),ROUND($G18*$L18*((1+$U$4)^4)/12*Worksheet!$G$5,0))))))))</f>
        <v>0</v>
      </c>
      <c r="U18" s="157">
        <f t="shared" ca="1" si="1"/>
        <v>0</v>
      </c>
      <c r="V18" s="203"/>
      <c r="W18" s="203"/>
      <c r="X18" s="203"/>
      <c r="Y18" s="203"/>
      <c r="Z18" s="203"/>
      <c r="AA18" s="204"/>
      <c r="AB18" s="204"/>
      <c r="AC18" s="204"/>
      <c r="AD18" s="204"/>
      <c r="AE18" s="204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</row>
    <row r="19" spans="1:53" ht="12.75" customHeight="1" x14ac:dyDescent="0.2">
      <c r="A19" s="161">
        <v>12</v>
      </c>
      <c r="B19" s="162"/>
      <c r="C19" s="162"/>
      <c r="D19" s="163"/>
      <c r="E19" s="257"/>
      <c r="F19" s="257"/>
      <c r="G19" s="266">
        <f t="shared" si="0"/>
        <v>0</v>
      </c>
      <c r="H19" s="303"/>
      <c r="I19" s="303"/>
      <c r="J19" s="303"/>
      <c r="K19" s="303"/>
      <c r="L19" s="303"/>
      <c r="M19" s="349" t="s">
        <v>237</v>
      </c>
      <c r="N19" s="350"/>
      <c r="O19" s="160">
        <v>0.03</v>
      </c>
      <c r="P19" s="193">
        <f ca="1">IF(AND($U$4="Multi",$T$4="FY"),ROUND(((1+$O19)^Worksheet!$B$20*Worksheet!$C$9+(1+$O19)^(Worksheet!$B$20+1)*Worksheet!$C$10)/12*Request!$G19*Request!$H19,0),(IF(AND($U$4="Multi",$T$4="PY"),ROUND(G19*H19/12*Worksheet!$C$5,0),(IF(AND($U$4&lt;&gt;"Multi",$T$4="FY"),ROUND(((1+$U$4)^Worksheet!$B$20*Worksheet!$C$9+(1+$U$4)^(Worksheet!$B$20+1)*Worksheet!$C$10)/12*Request!$G19*Request!$H19,0),ROUND($G19*$H19/12*Worksheet!$C$5,0))))))</f>
        <v>0</v>
      </c>
      <c r="Q19" s="193">
        <f ca="1">IF(Worksheet!$C$4=Worksheet!$D$4,(IF(AND($U$4="Multi",$T$4="FY"),ROUND(((1+$O19)^(Worksheet!$B$20)*Worksheet!$D$9+(1+$O19)^(Worksheet!$B$20+1)*Worksheet!$D$10)/12*Request!$G19*Request!$I19,0),(IF(AND($U$4="Multi",$T$4="PY"),ROUND($G19*$I19*(1+O19)/12*Worksheet!$D$5,0),(IF(AND($U$4&lt;&gt;"Multi",$T$4="FY"),ROUND(((1+$U$4)^(Worksheet!$B$20)*Worksheet!$D$9+(1+$U$4)^(Worksheet!$B$20+1)*Worksheet!$D$10)/12*Request!$G19*Request!$I19,0),ROUND($G19*$I19*(1+$U$4)/12*Worksheet!$D$5,0))))))),(IF(AND($U$4="Multi",$T$4="FY"),ROUND(((1+$O19)^(Worksheet!$B$20+1)*Worksheet!$D$9+(1+$O19)^(Worksheet!$B$20+2)*Worksheet!$D$10)/12*Request!$G19*Request!$I19,0),(IF(AND($U$4="Multi",$T$4="PY"),ROUND($G19*$I19*(1+O19)/12*Worksheet!$D$5,0),(IF(AND($U$4&lt;&gt;"Multi",$T$4="FY"),ROUND(((1+$U$4)^(Worksheet!$B$20+1)*Worksheet!$D$9+(1+$U$4)^(Worksheet!$B$20+2)*Worksheet!$D$10)/12*Request!$G19*Request!$I19,0),ROUND($G19*$I19*(1+$U$4)/12*Worksheet!$D$5,0))))))))</f>
        <v>0</v>
      </c>
      <c r="R19" s="193">
        <f ca="1">IF(Worksheet!$C$4=Worksheet!$D$4,(IF(AND($U$4="Multi",$T$4="FY"),ROUND(((1+$O19)^(Worksheet!$B$20+1)*Worksheet!$E$9+(1+$O19)^(Worksheet!$B$20+2)*Worksheet!$E$10)/12*Request!$G19*Request!J19,0),(IF(AND($U$4="Multi",$T$4="PY"),ROUND($G19*J19*((1+$O19)^2)/12*Worksheet!$E$5,0),(IF(AND($U$4&lt;&gt;"Multi",$T$4="FY"),ROUND(((1+$U$4)^(Worksheet!$B$20+1)*Worksheet!$E$9+(1+$U$4)^(Worksheet!$B$20+2)*Worksheet!$E$10)/12*Request!$G19*Request!J19,0),ROUND($G19*J19*((1+$U$4)^2)/12*Worksheet!$E$5,0))))))),(IF(AND($U$4="Multi",$T$4="FY"),ROUND(((1+$O19)^(Worksheet!$B$20+2)*Worksheet!$E$9+(1+$O19)^(Worksheet!$B$20+3)*Worksheet!$E$10)/12*Request!$G19*Request!J19,0),(IF(AND($U$4="Multi",$T$4="PY"),ROUND($G19*J19*((1+$O19)^2)/12*Worksheet!$E$5,0),(IF(AND($U$4&lt;&gt;"Multi",$T$4="FY"),ROUND(((1+$U$4)^(Worksheet!$B$20+2)*Worksheet!$E$9+(1+$U$4)^(Worksheet!$B$20+3)*Worksheet!$E$10)/12*Request!$G19*Request!J19,0),ROUND($G19*J19*((1+$U$4)^2)/12*Worksheet!$E$5,0))))))))</f>
        <v>0</v>
      </c>
      <c r="S19" s="193">
        <f ca="1">IF(Worksheet!$C$4=Worksheet!$D$4,(IF(AND($U$4="Multi",$T$4="FY"),ROUND(((1+$O19)^(Worksheet!$B$20+2)*Worksheet!$F$9+(1+$O19)^(Worksheet!$B$20+3)*Worksheet!$F$10)/12*Request!$G19*Request!$K19,0),(IF(AND($U$4="Multi",$T$4="PY"),ROUND($G19*$K19*((1+$O19)^3)/12*Worksheet!$F$5,0),(IF(AND($U$4&lt;&gt;"Multi",$T$4="FY"),ROUND(((1+$U$4)^(Worksheet!$B$20+2)*Worksheet!$F$9+(1+$U$4)^(Worksheet!$B$20+3)*Worksheet!$F$10)/12*Request!$G19*Request!$K19,0),ROUND($G19*$K19*((1+$U$4)^3)/12*Worksheet!$F$5,0))))))),(IF(AND($U$4="Multi",$T$4="FY"),ROUND(((1+$O19)^(Worksheet!$B$20+3)*Worksheet!$F$9+(1+$O19)^(Worksheet!$B$20+4)*Worksheet!$F$10)/12*Request!$G19*Request!$K19,0),(IF(AND($U$4="Multi",$T$4="PY"),ROUND($G19*$K19*((1+$O19)^3)/12*Worksheet!$F$5,0),(IF(AND($U$4&lt;&gt;"Multi",$T$4="FY"),ROUND(((1+$U$4)^(Worksheet!$B$20+3)*Worksheet!$F$9+(1+$U$4)^(Worksheet!$B$20+4)*Worksheet!$F$10)/12*Request!$G19*Request!$K19,0),ROUND($G19*$K19*((1+$U$4)^3)/12*Worksheet!$F$5,0))))))))</f>
        <v>0</v>
      </c>
      <c r="T19" s="193">
        <f ca="1">IF(Worksheet!$C$4=Worksheet!$D$4,(IF(AND($U$4="Multi",$T$4="FY"),ROUND(((1+$O19)^(Worksheet!$B$20+3)*Worksheet!$G$9+(1+$O19)^(Worksheet!$B$20+4)*Worksheet!$G$10)/12*Request!$G19*Request!$L19,0),(IF(AND($U$4="Multi",$T$4="PY"),ROUND($G19*$L19*((1+$O19)^4)/12*Worksheet!$G$5,0),(IF(AND($U$4&lt;&gt;"Multi",$T$4="FY"),ROUND(((1+$U$4)^(Worksheet!$B$20+3)*Worksheet!$G$9+(1+$U$4)^(Worksheet!$B$20+4)*Worksheet!$G$10)/12*Request!$G19*Request!$L19,0),ROUND($G19*$L19*((1+$U$4)^4)/12*Worksheet!$G$5,0))))))),(IF(AND($U$4="Multi",$T$4="FY"),ROUND(((1+$O19)^(Worksheet!$B$20+4)*Worksheet!$G$9+(1+$O19)^(Worksheet!$B$20+5)*Worksheet!$G$10)/12*Request!$G19*Request!$L19,0),(IF(AND($U$4="Multi",$T$4="PY"),ROUND($G19*$L19*((1+$O19)^4)/12*Worksheet!$G$5,0),(IF(AND($U$4&lt;&gt;"Multi",$T$4="FY"),ROUND(((1+$U$4)^(Worksheet!$B$20+4)*Worksheet!$G$9+(1+$U$4)^(Worksheet!$B$20+5)*Worksheet!$G$10)/12*Request!$G19*Request!$L19,0),ROUND($G19*$L19*((1+$U$4)^4)/12*Worksheet!$G$5,0))))))))</f>
        <v>0</v>
      </c>
      <c r="U19" s="157">
        <f t="shared" ca="1" si="1"/>
        <v>0</v>
      </c>
      <c r="V19" s="203"/>
      <c r="W19" s="204"/>
      <c r="X19" s="203"/>
      <c r="Y19" s="203"/>
      <c r="Z19" s="203"/>
      <c r="AA19" s="204"/>
      <c r="AB19" s="204"/>
      <c r="AC19" s="204"/>
      <c r="AD19" s="204"/>
      <c r="AE19" s="204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</row>
    <row r="20" spans="1:53" hidden="1" x14ac:dyDescent="0.2">
      <c r="A20" s="161">
        <v>13</v>
      </c>
      <c r="B20" s="162"/>
      <c r="C20" s="162"/>
      <c r="D20" s="163"/>
      <c r="E20" s="257">
        <v>100000</v>
      </c>
      <c r="F20" s="257"/>
      <c r="G20" s="266">
        <f t="shared" si="0"/>
        <v>100000</v>
      </c>
      <c r="H20" s="303"/>
      <c r="I20" s="303"/>
      <c r="J20" s="303"/>
      <c r="K20" s="303"/>
      <c r="L20" s="303"/>
      <c r="M20" s="349" t="s">
        <v>237</v>
      </c>
      <c r="N20" s="350"/>
      <c r="O20" s="160">
        <v>0.03</v>
      </c>
      <c r="P20" s="193">
        <f ca="1">IF(AND($U$4="Multi",$T$4="FY"),ROUND(((1+$O20)^Worksheet!$B$20*Worksheet!$C$9+(1+$O20)^(Worksheet!$B$20+1)*Worksheet!$C$10)/12*Request!$G20*Request!$H20,0),(IF(AND($U$4="Multi",$T$4="PY"),ROUND(G20*H20/12*Worksheet!$C$5,0),(IF(AND($U$4&lt;&gt;"Multi",$T$4="FY"),ROUND(((1+$U$4)^Worksheet!$B$20*Worksheet!$C$9+(1+$U$4)^(Worksheet!$B$20+1)*Worksheet!$C$10)/12*Request!$G20*Request!$H20,0),ROUND($G20*$H20/12*Worksheet!$C$5,0))))))</f>
        <v>0</v>
      </c>
      <c r="Q20" s="193">
        <f ca="1">IF(Worksheet!$C$4=Worksheet!$D$4,(IF(AND($U$4="Multi",$T$4="FY"),ROUND(((1+$O20)^(Worksheet!$B$20)*Worksheet!$D$9+(1+$O20)^(Worksheet!$B$20+1)*Worksheet!$D$10)/12*Request!$G20*Request!$I20,0),(IF(AND($U$4="Multi",$T$4="PY"),ROUND($G20*$I20*(1+O20)/12*Worksheet!$D$5,0),(IF(AND($U$4&lt;&gt;"Multi",$T$4="FY"),ROUND(((1+$U$4)^(Worksheet!$B$20)*Worksheet!$D$9+(1+$U$4)^(Worksheet!$B$20+1)*Worksheet!$D$10)/12*Request!$G20*Request!$I20,0),ROUND($G20*$I20*(1+$U$4)/12*Worksheet!$D$5,0))))))),(IF(AND($U$4="Multi",$T$4="FY"),ROUND(((1+$O20)^(Worksheet!$B$20+1)*Worksheet!$D$9+(1+$O20)^(Worksheet!$B$20+2)*Worksheet!$D$10)/12*Request!$G20*Request!$I20,0),(IF(AND($U$4="Multi",$T$4="PY"),ROUND($G20*$I20*(1+O20)/12*Worksheet!$D$5,0),(IF(AND($U$4&lt;&gt;"Multi",$T$4="FY"),ROUND(((1+$U$4)^(Worksheet!$B$20+1)*Worksheet!$D$9+(1+$U$4)^(Worksheet!$B$20+2)*Worksheet!$D$10)/12*Request!$G20*Request!$I20,0),ROUND($G20*$I20*(1+$U$4)/12*Worksheet!$D$5,0))))))))</f>
        <v>0</v>
      </c>
      <c r="R20" s="193">
        <f ca="1">IF(Worksheet!$C$4=Worksheet!$D$4,(IF(AND($U$4="Multi",$T$4="FY"),ROUND(((1+$O20)^(Worksheet!$B$20+1)*Worksheet!$E$9+(1+$O20)^(Worksheet!$B$20+2)*Worksheet!$E$10)/12*Request!$G20*Request!J20,0),(IF(AND($U$4="Multi",$T$4="PY"),ROUND($G20*J20*((1+$O20)^2)/12*Worksheet!$E$5,0),(IF(AND($U$4&lt;&gt;"Multi",$T$4="FY"),ROUND(((1+$U$4)^(Worksheet!$B$20+1)*Worksheet!$E$9+(1+$U$4)^(Worksheet!$B$20+2)*Worksheet!$E$10)/12*Request!$G20*Request!J20,0),ROUND($G20*J20*((1+$U$4)^2)/12*Worksheet!$E$5,0))))))),(IF(AND($U$4="Multi",$T$4="FY"),ROUND(((1+$O20)^(Worksheet!$B$20+2)*Worksheet!$E$9+(1+$O20)^(Worksheet!$B$20+3)*Worksheet!$E$10)/12*Request!$G20*Request!J20,0),(IF(AND($U$4="Multi",$T$4="PY"),ROUND($G20*J20*((1+$O20)^2)/12*Worksheet!$E$5,0),(IF(AND($U$4&lt;&gt;"Multi",$T$4="FY"),ROUND(((1+$U$4)^(Worksheet!$B$20+2)*Worksheet!$E$9+(1+$U$4)^(Worksheet!$B$20+3)*Worksheet!$E$10)/12*Request!$G20*Request!J20,0),ROUND($G20*J20*((1+$U$4)^2)/12*Worksheet!$E$5,0))))))))</f>
        <v>0</v>
      </c>
      <c r="S20" s="193">
        <f ca="1">IF(Worksheet!$C$4=Worksheet!$D$4,(IF(AND($U$4="Multi",$T$4="FY"),ROUND(((1+$O20)^(Worksheet!$B$20+2)*Worksheet!$F$9+(1+$O20)^(Worksheet!$B$20+3)*Worksheet!$F$10)/12*Request!$G20*Request!$K20,0),(IF(AND($U$4="Multi",$T$4="PY"),ROUND($G20*$K20*((1+$O20)^3)/12*Worksheet!$F$5,0),(IF(AND($U$4&lt;&gt;"Multi",$T$4="FY"),ROUND(((1+$U$4)^(Worksheet!$B$20+2)*Worksheet!$F$9+(1+$U$4)^(Worksheet!$B$20+3)*Worksheet!$F$10)/12*Request!$G20*Request!$K20,0),ROUND($G20*$K20*((1+$U$4)^3)/12*Worksheet!$F$5,0))))))),(IF(AND($U$4="Multi",$T$4="FY"),ROUND(((1+$O20)^(Worksheet!$B$20+3)*Worksheet!$F$9+(1+$O20)^(Worksheet!$B$20+4)*Worksheet!$F$10)/12*Request!$G20*Request!$K20,0),(IF(AND($U$4="Multi",$T$4="PY"),ROUND($G20*$K20*((1+$O20)^3)/12*Worksheet!$F$5,0),(IF(AND($U$4&lt;&gt;"Multi",$T$4="FY"),ROUND(((1+$U$4)^(Worksheet!$B$20+3)*Worksheet!$F$9+(1+$U$4)^(Worksheet!$B$20+4)*Worksheet!$F$10)/12*Request!$G20*Request!$K20,0),ROUND($G20*$K20*((1+$U$4)^3)/12*Worksheet!$F$5,0))))))))</f>
        <v>0</v>
      </c>
      <c r="T20" s="193">
        <f ca="1">IF(Worksheet!$C$4=Worksheet!$D$4,(IF(AND($U$4="Multi",$T$4="FY"),ROUND(((1+$O20)^(Worksheet!$B$20+3)*Worksheet!$G$9+(1+$O20)^(Worksheet!$B$20+4)*Worksheet!$G$10)/12*Request!$G20*Request!$L20,0),(IF(AND($U$4="Multi",$T$4="PY"),ROUND($G20*$L20*((1+$O20)^4)/12*Worksheet!$G$5,0),(IF(AND($U$4&lt;&gt;"Multi",$T$4="FY"),ROUND(((1+$U$4)^(Worksheet!$B$20+3)*Worksheet!$G$9+(1+$U$4)^(Worksheet!$B$20+4)*Worksheet!$G$10)/12*Request!$G20*Request!$L20,0),ROUND($G20*$L20*((1+$U$4)^4)/12*Worksheet!$G$5,0))))))),(IF(AND($U$4="Multi",$T$4="FY"),ROUND(((1+$O20)^(Worksheet!$B$20+4)*Worksheet!$G$9+(1+$O20)^(Worksheet!$B$20+5)*Worksheet!$G$10)/12*Request!$G20*Request!$L20,0),(IF(AND($U$4="Multi",$T$4="PY"),ROUND($G20*$L20*((1+$O20)^4)/12*Worksheet!$G$5,0),(IF(AND($U$4&lt;&gt;"Multi",$T$4="FY"),ROUND(((1+$U$4)^(Worksheet!$B$20+4)*Worksheet!$G$9+(1+$U$4)^(Worksheet!$B$20+5)*Worksheet!$G$10)/12*Request!$G20*Request!$L20,0),ROUND($G20*$L20*((1+$U$4)^4)/12*Worksheet!$G$5,0))))))))</f>
        <v>0</v>
      </c>
      <c r="U20" s="157">
        <f t="shared" ca="1" si="1"/>
        <v>0</v>
      </c>
      <c r="V20" s="203"/>
      <c r="W20" s="203"/>
      <c r="X20" s="203"/>
      <c r="Y20" s="203"/>
      <c r="Z20" s="203"/>
      <c r="AA20" s="204"/>
      <c r="AB20" s="204"/>
      <c r="AC20" s="204"/>
      <c r="AD20" s="204"/>
      <c r="AE20" s="204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</row>
    <row r="21" spans="1:53" hidden="1" x14ac:dyDescent="0.2">
      <c r="A21" s="161">
        <v>14</v>
      </c>
      <c r="B21" s="162"/>
      <c r="C21" s="162"/>
      <c r="D21" s="163"/>
      <c r="E21" s="257">
        <v>100000</v>
      </c>
      <c r="F21" s="257"/>
      <c r="G21" s="266">
        <f t="shared" si="0"/>
        <v>100000</v>
      </c>
      <c r="H21" s="303"/>
      <c r="I21" s="303"/>
      <c r="J21" s="303"/>
      <c r="K21" s="303"/>
      <c r="L21" s="303"/>
      <c r="M21" s="349" t="s">
        <v>237</v>
      </c>
      <c r="N21" s="350"/>
      <c r="O21" s="160">
        <v>0.03</v>
      </c>
      <c r="P21" s="193">
        <f ca="1">IF(AND($U$4="Multi",$T$4="FY"),ROUND(((1+$O21)^Worksheet!$B$20*Worksheet!$C$9+(1+$O21)^(Worksheet!$B$20+1)*Worksheet!$C$10)/12*Request!$G21*Request!$H21,0),(IF(AND($U$4="Multi",$T$4="PY"),ROUND(G21*H21/12*Worksheet!$C$5,0),(IF(AND($U$4&lt;&gt;"Multi",$T$4="FY"),ROUND(((1+$U$4)^Worksheet!$B$20*Worksheet!$C$9+(1+$U$4)^(Worksheet!$B$20+1)*Worksheet!$C$10)/12*Request!$G21*Request!$H21,0),ROUND($G21*$H21/12*Worksheet!$C$5,0))))))</f>
        <v>0</v>
      </c>
      <c r="Q21" s="193">
        <f ca="1">IF(Worksheet!$C$4=Worksheet!$D$4,(IF(AND($U$4="Multi",$T$4="FY"),ROUND(((1+$O21)^(Worksheet!$B$20)*Worksheet!$D$9+(1+$O21)^(Worksheet!$B$20+1)*Worksheet!$D$10)/12*Request!$G21*Request!$I21,0),(IF(AND($U$4="Multi",$T$4="PY"),ROUND($G21*$I21*(1+O21)/12*Worksheet!$D$5,0),(IF(AND($U$4&lt;&gt;"Multi",$T$4="FY"),ROUND(((1+$U$4)^(Worksheet!$B$20)*Worksheet!$D$9+(1+$U$4)^(Worksheet!$B$20+1)*Worksheet!$D$10)/12*Request!$G21*Request!$I21,0),ROUND($G21*$I21*(1+$U$4)/12*Worksheet!$D$5,0))))))),(IF(AND($U$4="Multi",$T$4="FY"),ROUND(((1+$O21)^(Worksheet!$B$20+1)*Worksheet!$D$9+(1+$O21)^(Worksheet!$B$20+2)*Worksheet!$D$10)/12*Request!$G21*Request!$I21,0),(IF(AND($U$4="Multi",$T$4="PY"),ROUND($G21*$I21*(1+O21)/12*Worksheet!$D$5,0),(IF(AND($U$4&lt;&gt;"Multi",$T$4="FY"),ROUND(((1+$U$4)^(Worksheet!$B$20+1)*Worksheet!$D$9+(1+$U$4)^(Worksheet!$B$20+2)*Worksheet!$D$10)/12*Request!$G21*Request!$I21,0),ROUND($G21*$I21*(1+$U$4)/12*Worksheet!$D$5,0))))))))</f>
        <v>0</v>
      </c>
      <c r="R21" s="193">
        <f ca="1">IF(Worksheet!$C$4=Worksheet!$D$4,(IF(AND($U$4="Multi",$T$4="FY"),ROUND(((1+$O21)^(Worksheet!$B$20+1)*Worksheet!$E$9+(1+$O21)^(Worksheet!$B$20+2)*Worksheet!$E$10)/12*Request!$G21*Request!J21,0),(IF(AND($U$4="Multi",$T$4="PY"),ROUND($G21*J21*((1+$O21)^2)/12*Worksheet!$E$5,0),(IF(AND($U$4&lt;&gt;"Multi",$T$4="FY"),ROUND(((1+$U$4)^(Worksheet!$B$20+1)*Worksheet!$E$9+(1+$U$4)^(Worksheet!$B$20+2)*Worksheet!$E$10)/12*Request!$G21*Request!J21,0),ROUND($G21*J21*((1+$U$4)^2)/12*Worksheet!$E$5,0))))))),(IF(AND($U$4="Multi",$T$4="FY"),ROUND(((1+$O21)^(Worksheet!$B$20+2)*Worksheet!$E$9+(1+$O21)^(Worksheet!$B$20+3)*Worksheet!$E$10)/12*Request!$G21*Request!J21,0),(IF(AND($U$4="Multi",$T$4="PY"),ROUND($G21*J21*((1+$O21)^2)/12*Worksheet!$E$5,0),(IF(AND($U$4&lt;&gt;"Multi",$T$4="FY"),ROUND(((1+$U$4)^(Worksheet!$B$20+2)*Worksheet!$E$9+(1+$U$4)^(Worksheet!$B$20+3)*Worksheet!$E$10)/12*Request!$G21*Request!J21,0),ROUND($G21*J21*((1+$U$4)^2)/12*Worksheet!$E$5,0))))))))</f>
        <v>0</v>
      </c>
      <c r="S21" s="193">
        <f ca="1">IF(Worksheet!$C$4=Worksheet!$D$4,(IF(AND($U$4="Multi",$T$4="FY"),ROUND(((1+$O21)^(Worksheet!$B$20+2)*Worksheet!$F$9+(1+$O21)^(Worksheet!$B$20+3)*Worksheet!$F$10)/12*Request!$G21*Request!$K21,0),(IF(AND($U$4="Multi",$T$4="PY"),ROUND($G21*$K21*((1+$O21)^3)/12*Worksheet!$F$5,0),(IF(AND($U$4&lt;&gt;"Multi",$T$4="FY"),ROUND(((1+$U$4)^(Worksheet!$B$20+2)*Worksheet!$F$9+(1+$U$4)^(Worksheet!$B$20+3)*Worksheet!$F$10)/12*Request!$G21*Request!$K21,0),ROUND($G21*$K21*((1+$U$4)^3)/12*Worksheet!$F$5,0))))))),(IF(AND($U$4="Multi",$T$4="FY"),ROUND(((1+$O21)^(Worksheet!$B$20+3)*Worksheet!$F$9+(1+$O21)^(Worksheet!$B$20+4)*Worksheet!$F$10)/12*Request!$G21*Request!$K21,0),(IF(AND($U$4="Multi",$T$4="PY"),ROUND($G21*$K21*((1+$O21)^3)/12*Worksheet!$F$5,0),(IF(AND($U$4&lt;&gt;"Multi",$T$4="FY"),ROUND(((1+$U$4)^(Worksheet!$B$20+3)*Worksheet!$F$9+(1+$U$4)^(Worksheet!$B$20+4)*Worksheet!$F$10)/12*Request!$G21*Request!$K21,0),ROUND($G21*$K21*((1+$U$4)^3)/12*Worksheet!$F$5,0))))))))</f>
        <v>0</v>
      </c>
      <c r="T21" s="193">
        <f ca="1">IF(Worksheet!$C$4=Worksheet!$D$4,(IF(AND($U$4="Multi",$T$4="FY"),ROUND(((1+$O21)^(Worksheet!$B$20+3)*Worksheet!$G$9+(1+$O21)^(Worksheet!$B$20+4)*Worksheet!$G$10)/12*Request!$G21*Request!$L21,0),(IF(AND($U$4="Multi",$T$4="PY"),ROUND($G21*$L21*((1+$O21)^4)/12*Worksheet!$G$5,0),(IF(AND($U$4&lt;&gt;"Multi",$T$4="FY"),ROUND(((1+$U$4)^(Worksheet!$B$20+3)*Worksheet!$G$9+(1+$U$4)^(Worksheet!$B$20+4)*Worksheet!$G$10)/12*Request!$G21*Request!$L21,0),ROUND($G21*$L21*((1+$U$4)^4)/12*Worksheet!$G$5,0))))))),(IF(AND($U$4="Multi",$T$4="FY"),ROUND(((1+$O21)^(Worksheet!$B$20+4)*Worksheet!$G$9+(1+$O21)^(Worksheet!$B$20+5)*Worksheet!$G$10)/12*Request!$G21*Request!$L21,0),(IF(AND($U$4="Multi",$T$4="PY"),ROUND($G21*$L21*((1+$O21)^4)/12*Worksheet!$G$5,0),(IF(AND($U$4&lt;&gt;"Multi",$T$4="FY"),ROUND(((1+$U$4)^(Worksheet!$B$20+4)*Worksheet!$G$9+(1+$U$4)^(Worksheet!$B$20+5)*Worksheet!$G$10)/12*Request!$G21*Request!$L21,0),ROUND($G21*$L21*((1+$U$4)^4)/12*Worksheet!$G$5,0))))))))</f>
        <v>0</v>
      </c>
      <c r="U21" s="157">
        <f t="shared" ca="1" si="1"/>
        <v>0</v>
      </c>
      <c r="V21" s="203"/>
      <c r="W21" s="203"/>
      <c r="X21" s="203"/>
      <c r="Y21" s="203"/>
      <c r="Z21" s="203"/>
      <c r="AA21" s="204"/>
      <c r="AB21" s="204"/>
      <c r="AC21" s="204"/>
      <c r="AD21" s="204"/>
      <c r="AE21" s="204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</row>
    <row r="22" spans="1:53" hidden="1" x14ac:dyDescent="0.2">
      <c r="A22" s="161">
        <v>15</v>
      </c>
      <c r="B22" s="162"/>
      <c r="C22" s="162"/>
      <c r="D22" s="163"/>
      <c r="E22" s="257">
        <v>100000</v>
      </c>
      <c r="F22" s="257"/>
      <c r="G22" s="266">
        <f t="shared" si="0"/>
        <v>100000</v>
      </c>
      <c r="H22" s="303"/>
      <c r="I22" s="303"/>
      <c r="J22" s="303"/>
      <c r="K22" s="303"/>
      <c r="L22" s="303"/>
      <c r="M22" s="349" t="s">
        <v>237</v>
      </c>
      <c r="N22" s="350"/>
      <c r="O22" s="160">
        <v>0.03</v>
      </c>
      <c r="P22" s="193">
        <f ca="1">IF(AND($U$4="Multi",$T$4="FY"),ROUND(((1+$O22)^Worksheet!$B$20*Worksheet!$C$9+(1+$O22)^(Worksheet!$B$20+1)*Worksheet!$C$10)/12*Request!$G22*Request!$H22,0),(IF(AND($U$4="Multi",$T$4="PY"),ROUND(G22*H22/12*Worksheet!$C$5,0),(IF(AND($U$4&lt;&gt;"Multi",$T$4="FY"),ROUND(((1+$U$4)^Worksheet!$B$20*Worksheet!$C$9+(1+$U$4)^(Worksheet!$B$20+1)*Worksheet!$C$10)/12*Request!$G22*Request!$H22,0),ROUND($G22*$H22/12*Worksheet!$C$5,0))))))</f>
        <v>0</v>
      </c>
      <c r="Q22" s="193">
        <f ca="1">IF(Worksheet!$C$4=Worksheet!$D$4,(IF(AND($U$4="Multi",$T$4="FY"),ROUND(((1+$O22)^(Worksheet!$B$20)*Worksheet!$D$9+(1+$O22)^(Worksheet!$B$20+1)*Worksheet!$D$10)/12*Request!$G22*Request!$I22,0),(IF(AND($U$4="Multi",$T$4="PY"),ROUND($G22*$I22*(1+O22)/12*Worksheet!$D$5,0),(IF(AND($U$4&lt;&gt;"Multi",$T$4="FY"),ROUND(((1+$U$4)^(Worksheet!$B$20)*Worksheet!$D$9+(1+$U$4)^(Worksheet!$B$20+1)*Worksheet!$D$10)/12*Request!$G22*Request!$I22,0),ROUND($G22*$I22*(1+$U$4)/12*Worksheet!$D$5,0))))))),(IF(AND($U$4="Multi",$T$4="FY"),ROUND(((1+$O22)^(Worksheet!$B$20+1)*Worksheet!$D$9+(1+$O22)^(Worksheet!$B$20+2)*Worksheet!$D$10)/12*Request!$G22*Request!$I22,0),(IF(AND($U$4="Multi",$T$4="PY"),ROUND($G22*$I22*(1+O22)/12*Worksheet!$D$5,0),(IF(AND($U$4&lt;&gt;"Multi",$T$4="FY"),ROUND(((1+$U$4)^(Worksheet!$B$20+1)*Worksheet!$D$9+(1+$U$4)^(Worksheet!$B$20+2)*Worksheet!$D$10)/12*Request!$G22*Request!$I22,0),ROUND($G22*$I22*(1+$U$4)/12*Worksheet!$D$5,0))))))))</f>
        <v>0</v>
      </c>
      <c r="R22" s="193">
        <f ca="1">IF(Worksheet!$C$4=Worksheet!$D$4,(IF(AND($U$4="Multi",$T$4="FY"),ROUND(((1+$O22)^(Worksheet!$B$20+1)*Worksheet!$E$9+(1+$O22)^(Worksheet!$B$20+2)*Worksheet!$E$10)/12*Request!$G22*Request!J22,0),(IF(AND($U$4="Multi",$T$4="PY"),ROUND($G22*J22*((1+$O22)^2)/12*Worksheet!$E$5,0),(IF(AND($U$4&lt;&gt;"Multi",$T$4="FY"),ROUND(((1+$U$4)^(Worksheet!$B$20+1)*Worksheet!$E$9+(1+$U$4)^(Worksheet!$B$20+2)*Worksheet!$E$10)/12*Request!$G22*Request!J22,0),ROUND($G22*J22*((1+$U$4)^2)/12*Worksheet!$E$5,0))))))),(IF(AND($U$4="Multi",$T$4="FY"),ROUND(((1+$O22)^(Worksheet!$B$20+2)*Worksheet!$E$9+(1+$O22)^(Worksheet!$B$20+3)*Worksheet!$E$10)/12*Request!$G22*Request!J22,0),(IF(AND($U$4="Multi",$T$4="PY"),ROUND($G22*J22*((1+$O22)^2)/12*Worksheet!$E$5,0),(IF(AND($U$4&lt;&gt;"Multi",$T$4="FY"),ROUND(((1+$U$4)^(Worksheet!$B$20+2)*Worksheet!$E$9+(1+$U$4)^(Worksheet!$B$20+3)*Worksheet!$E$10)/12*Request!$G22*Request!J22,0),ROUND($G22*J22*((1+$U$4)^2)/12*Worksheet!$E$5,0))))))))</f>
        <v>0</v>
      </c>
      <c r="S22" s="193">
        <f ca="1">IF(Worksheet!$C$4=Worksheet!$D$4,(IF(AND($U$4="Multi",$T$4="FY"),ROUND(((1+$O22)^(Worksheet!$B$20+2)*Worksheet!$F$9+(1+$O22)^(Worksheet!$B$20+3)*Worksheet!$F$10)/12*Request!$G22*Request!$K22,0),(IF(AND($U$4="Multi",$T$4="PY"),ROUND($G22*$K22*((1+$O22)^3)/12*Worksheet!$F$5,0),(IF(AND($U$4&lt;&gt;"Multi",$T$4="FY"),ROUND(((1+$U$4)^(Worksheet!$B$20+2)*Worksheet!$F$9+(1+$U$4)^(Worksheet!$B$20+3)*Worksheet!$F$10)/12*Request!$G22*Request!$K22,0),ROUND($G22*$K22*((1+$U$4)^3)/12*Worksheet!$F$5,0))))))),(IF(AND($U$4="Multi",$T$4="FY"),ROUND(((1+$O22)^(Worksheet!$B$20+3)*Worksheet!$F$9+(1+$O22)^(Worksheet!$B$20+4)*Worksheet!$F$10)/12*Request!$G22*Request!$K22,0),(IF(AND($U$4="Multi",$T$4="PY"),ROUND($G22*$K22*((1+$O22)^3)/12*Worksheet!$F$5,0),(IF(AND($U$4&lt;&gt;"Multi",$T$4="FY"),ROUND(((1+$U$4)^(Worksheet!$B$20+3)*Worksheet!$F$9+(1+$U$4)^(Worksheet!$B$20+4)*Worksheet!$F$10)/12*Request!$G22*Request!$K22,0),ROUND($G22*$K22*((1+$U$4)^3)/12*Worksheet!$F$5,0))))))))</f>
        <v>0</v>
      </c>
      <c r="T22" s="193">
        <f ca="1">IF(Worksheet!$C$4=Worksheet!$D$4,(IF(AND($U$4="Multi",$T$4="FY"),ROUND(((1+$O22)^(Worksheet!$B$20+3)*Worksheet!$G$9+(1+$O22)^(Worksheet!$B$20+4)*Worksheet!$G$10)/12*Request!$G22*Request!$L22,0),(IF(AND($U$4="Multi",$T$4="PY"),ROUND($G22*$L22*((1+$O22)^4)/12*Worksheet!$G$5,0),(IF(AND($U$4&lt;&gt;"Multi",$T$4="FY"),ROUND(((1+$U$4)^(Worksheet!$B$20+3)*Worksheet!$G$9+(1+$U$4)^(Worksheet!$B$20+4)*Worksheet!$G$10)/12*Request!$G22*Request!$L22,0),ROUND($G22*$L22*((1+$U$4)^4)/12*Worksheet!$G$5,0))))))),(IF(AND($U$4="Multi",$T$4="FY"),ROUND(((1+$O22)^(Worksheet!$B$20+4)*Worksheet!$G$9+(1+$O22)^(Worksheet!$B$20+5)*Worksheet!$G$10)/12*Request!$G22*Request!$L22,0),(IF(AND($U$4="Multi",$T$4="PY"),ROUND($G22*$L22*((1+$O22)^4)/12*Worksheet!$G$5,0),(IF(AND($U$4&lt;&gt;"Multi",$T$4="FY"),ROUND(((1+$U$4)^(Worksheet!$B$20+4)*Worksheet!$G$9+(1+$U$4)^(Worksheet!$B$20+5)*Worksheet!$G$10)/12*Request!$G22*Request!$L22,0),ROUND($G22*$L22*((1+$U$4)^4)/12*Worksheet!$G$5,0))))))))</f>
        <v>0</v>
      </c>
      <c r="U22" s="157">
        <f t="shared" ca="1" si="1"/>
        <v>0</v>
      </c>
      <c r="V22" s="203"/>
      <c r="W22" s="203"/>
      <c r="X22" s="203"/>
      <c r="Y22" s="203"/>
      <c r="Z22" s="203"/>
      <c r="AA22" s="204"/>
      <c r="AB22" s="204"/>
      <c r="AC22" s="204"/>
      <c r="AD22" s="204"/>
      <c r="AE22" s="204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</row>
    <row r="23" spans="1:53" hidden="1" x14ac:dyDescent="0.2">
      <c r="A23" s="161">
        <v>16</v>
      </c>
      <c r="B23" s="162"/>
      <c r="C23" s="162"/>
      <c r="D23" s="163"/>
      <c r="E23" s="257">
        <v>100000</v>
      </c>
      <c r="F23" s="257"/>
      <c r="G23" s="266">
        <f t="shared" si="0"/>
        <v>100000</v>
      </c>
      <c r="H23" s="303"/>
      <c r="I23" s="303"/>
      <c r="J23" s="303"/>
      <c r="K23" s="303"/>
      <c r="L23" s="303"/>
      <c r="M23" s="349" t="s">
        <v>237</v>
      </c>
      <c r="N23" s="350"/>
      <c r="O23" s="160">
        <v>0.03</v>
      </c>
      <c r="P23" s="193">
        <f ca="1">IF(AND($U$4="Multi",$T$4="FY"),ROUND(((1+$O23)^Worksheet!$B$20*Worksheet!$C$9+(1+$O23)^(Worksheet!$B$20+1)*Worksheet!$C$10)/12*Request!$G23*Request!$H23,0),(IF(AND($U$4="Multi",$T$4="PY"),ROUND(G23*H23/12*Worksheet!$C$5,0),(IF(AND($U$4&lt;&gt;"Multi",$T$4="FY"),ROUND(((1+$U$4)^Worksheet!$B$20*Worksheet!$C$9+(1+$U$4)^(Worksheet!$B$20+1)*Worksheet!$C$10)/12*Request!$G23*Request!$H23,0),ROUND($G23*$H23/12*Worksheet!$C$5,0))))))</f>
        <v>0</v>
      </c>
      <c r="Q23" s="193">
        <f ca="1">IF(Worksheet!$C$4=Worksheet!$D$4,(IF(AND($U$4="Multi",$T$4="FY"),ROUND(((1+$O23)^(Worksheet!$B$20)*Worksheet!$D$9+(1+$O23)^(Worksheet!$B$20+1)*Worksheet!$D$10)/12*Request!$G23*Request!$I23,0),(IF(AND($U$4="Multi",$T$4="PY"),ROUND($G23*$I23*(1+O23)/12*Worksheet!$D$5,0),(IF(AND($U$4&lt;&gt;"Multi",$T$4="FY"),ROUND(((1+$U$4)^(Worksheet!$B$20)*Worksheet!$D$9+(1+$U$4)^(Worksheet!$B$20+1)*Worksheet!$D$10)/12*Request!$G23*Request!$I23,0),ROUND($G23*$I23*(1+$U$4)/12*Worksheet!$D$5,0))))))),(IF(AND($U$4="Multi",$T$4="FY"),ROUND(((1+$O23)^(Worksheet!$B$20+1)*Worksheet!$D$9+(1+$O23)^(Worksheet!$B$20+2)*Worksheet!$D$10)/12*Request!$G23*Request!$I23,0),(IF(AND($U$4="Multi",$T$4="PY"),ROUND($G23*$I23*(1+O23)/12*Worksheet!$D$5,0),(IF(AND($U$4&lt;&gt;"Multi",$T$4="FY"),ROUND(((1+$U$4)^(Worksheet!$B$20+1)*Worksheet!$D$9+(1+$U$4)^(Worksheet!$B$20+2)*Worksheet!$D$10)/12*Request!$G23*Request!$I23,0),ROUND($G23*$I23*(1+$U$4)/12*Worksheet!$D$5,0))))))))</f>
        <v>0</v>
      </c>
      <c r="R23" s="193">
        <f ca="1">IF(Worksheet!$C$4=Worksheet!$D$4,(IF(AND($U$4="Multi",$T$4="FY"),ROUND(((1+$O23)^(Worksheet!$B$20+1)*Worksheet!$E$9+(1+$O23)^(Worksheet!$B$20+2)*Worksheet!$E$10)/12*Request!$G23*Request!J23,0),(IF(AND($U$4="Multi",$T$4="PY"),ROUND($G23*J23*((1+$O23)^2)/12*Worksheet!$E$5,0),(IF(AND($U$4&lt;&gt;"Multi",$T$4="FY"),ROUND(((1+$U$4)^(Worksheet!$B$20+1)*Worksheet!$E$9+(1+$U$4)^(Worksheet!$B$20+2)*Worksheet!$E$10)/12*Request!$G23*Request!J23,0),ROUND($G23*J23*((1+$U$4)^2)/12*Worksheet!$E$5,0))))))),(IF(AND($U$4="Multi",$T$4="FY"),ROUND(((1+$O23)^(Worksheet!$B$20+2)*Worksheet!$E$9+(1+$O23)^(Worksheet!$B$20+3)*Worksheet!$E$10)/12*Request!$G23*Request!J23,0),(IF(AND($U$4="Multi",$T$4="PY"),ROUND($G23*J23*((1+$O23)^2)/12*Worksheet!$E$5,0),(IF(AND($U$4&lt;&gt;"Multi",$T$4="FY"),ROUND(((1+$U$4)^(Worksheet!$B$20+2)*Worksheet!$E$9+(1+$U$4)^(Worksheet!$B$20+3)*Worksheet!$E$10)/12*Request!$G23*Request!J23,0),ROUND($G23*J23*((1+$U$4)^2)/12*Worksheet!$E$5,0))))))))</f>
        <v>0</v>
      </c>
      <c r="S23" s="193">
        <f ca="1">IF(Worksheet!$C$4=Worksheet!$D$4,(IF(AND($U$4="Multi",$T$4="FY"),ROUND(((1+$O23)^(Worksheet!$B$20+2)*Worksheet!$F$9+(1+$O23)^(Worksheet!$B$20+3)*Worksheet!$F$10)/12*Request!$G23*Request!$K23,0),(IF(AND($U$4="Multi",$T$4="PY"),ROUND($G23*$K23*((1+$O23)^3)/12*Worksheet!$F$5,0),(IF(AND($U$4&lt;&gt;"Multi",$T$4="FY"),ROUND(((1+$U$4)^(Worksheet!$B$20+2)*Worksheet!$F$9+(1+$U$4)^(Worksheet!$B$20+3)*Worksheet!$F$10)/12*Request!$G23*Request!$K23,0),ROUND($G23*$K23*((1+$U$4)^3)/12*Worksheet!$F$5,0))))))),(IF(AND($U$4="Multi",$T$4="FY"),ROUND(((1+$O23)^(Worksheet!$B$20+3)*Worksheet!$F$9+(1+$O23)^(Worksheet!$B$20+4)*Worksheet!$F$10)/12*Request!$G23*Request!$K23,0),(IF(AND($U$4="Multi",$T$4="PY"),ROUND($G23*$K23*((1+$O23)^3)/12*Worksheet!$F$5,0),(IF(AND($U$4&lt;&gt;"Multi",$T$4="FY"),ROUND(((1+$U$4)^(Worksheet!$B$20+3)*Worksheet!$F$9+(1+$U$4)^(Worksheet!$B$20+4)*Worksheet!$F$10)/12*Request!$G23*Request!$K23,0),ROUND($G23*$K23*((1+$U$4)^3)/12*Worksheet!$F$5,0))))))))</f>
        <v>0</v>
      </c>
      <c r="T23" s="193">
        <f ca="1">IF(Worksheet!$C$4=Worksheet!$D$4,(IF(AND($U$4="Multi",$T$4="FY"),ROUND(((1+$O23)^(Worksheet!$B$20+3)*Worksheet!$G$9+(1+$O23)^(Worksheet!$B$20+4)*Worksheet!$G$10)/12*Request!$G23*Request!$L23,0),(IF(AND($U$4="Multi",$T$4="PY"),ROUND($G23*$L23*((1+$O23)^4)/12*Worksheet!$G$5,0),(IF(AND($U$4&lt;&gt;"Multi",$T$4="FY"),ROUND(((1+$U$4)^(Worksheet!$B$20+3)*Worksheet!$G$9+(1+$U$4)^(Worksheet!$B$20+4)*Worksheet!$G$10)/12*Request!$G23*Request!$L23,0),ROUND($G23*$L23*((1+$U$4)^4)/12*Worksheet!$G$5,0))))))),(IF(AND($U$4="Multi",$T$4="FY"),ROUND(((1+$O23)^(Worksheet!$B$20+4)*Worksheet!$G$9+(1+$O23)^(Worksheet!$B$20+5)*Worksheet!$G$10)/12*Request!$G23*Request!$L23,0),(IF(AND($U$4="Multi",$T$4="PY"),ROUND($G23*$L23*((1+$O23)^4)/12*Worksheet!$G$5,0),(IF(AND($U$4&lt;&gt;"Multi",$T$4="FY"),ROUND(((1+$U$4)^(Worksheet!$B$20+4)*Worksheet!$G$9+(1+$U$4)^(Worksheet!$B$20+5)*Worksheet!$G$10)/12*Request!$G23*Request!$L23,0),ROUND($G23*$L23*((1+$U$4)^4)/12*Worksheet!$G$5,0))))))))</f>
        <v>0</v>
      </c>
      <c r="U23" s="157">
        <f t="shared" ca="1" si="1"/>
        <v>0</v>
      </c>
      <c r="V23" s="203"/>
      <c r="W23" s="203"/>
      <c r="X23" s="203"/>
      <c r="Y23" s="203"/>
      <c r="Z23" s="203"/>
      <c r="AA23" s="204"/>
      <c r="AB23" s="204"/>
      <c r="AC23" s="204"/>
      <c r="AD23" s="204"/>
      <c r="AE23" s="204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</row>
    <row r="24" spans="1:53" hidden="1" x14ac:dyDescent="0.2">
      <c r="A24" s="161">
        <v>17</v>
      </c>
      <c r="B24" s="162"/>
      <c r="C24" s="162"/>
      <c r="D24" s="163"/>
      <c r="E24" s="257">
        <v>100000</v>
      </c>
      <c r="F24" s="257"/>
      <c r="G24" s="266">
        <f t="shared" si="0"/>
        <v>100000</v>
      </c>
      <c r="H24" s="303"/>
      <c r="I24" s="303"/>
      <c r="J24" s="303"/>
      <c r="K24" s="303"/>
      <c r="L24" s="303"/>
      <c r="M24" s="349" t="s">
        <v>237</v>
      </c>
      <c r="N24" s="350"/>
      <c r="O24" s="160">
        <v>0.03</v>
      </c>
      <c r="P24" s="193">
        <f ca="1">IF(AND($U$4="Multi",$T$4="FY"),ROUND(((1+$O24)^Worksheet!$B$20*Worksheet!$C$9+(1+$O24)^(Worksheet!$B$20+1)*Worksheet!$C$10)/12*Request!$G24*Request!$H24,0),(IF(AND($U$4="Multi",$T$4="PY"),ROUND(G24*H24/12*Worksheet!$C$5,0),(IF(AND($U$4&lt;&gt;"Multi",$T$4="FY"),ROUND(((1+$U$4)^Worksheet!$B$20*Worksheet!$C$9+(1+$U$4)^(Worksheet!$B$20+1)*Worksheet!$C$10)/12*Request!$G24*Request!$H24,0),ROUND($G24*$H24/12*Worksheet!$C$5,0))))))</f>
        <v>0</v>
      </c>
      <c r="Q24" s="193">
        <f ca="1">IF(Worksheet!$C$4=Worksheet!$D$4,(IF(AND($U$4="Multi",$T$4="FY"),ROUND(((1+$O24)^(Worksheet!$B$20)*Worksheet!$D$9+(1+$O24)^(Worksheet!$B$20+1)*Worksheet!$D$10)/12*Request!$G24*Request!$I24,0),(IF(AND($U$4="Multi",$T$4="PY"),ROUND($G24*$I24*(1+O24)/12*Worksheet!$D$5,0),(IF(AND($U$4&lt;&gt;"Multi",$T$4="FY"),ROUND(((1+$U$4)^(Worksheet!$B$20)*Worksheet!$D$9+(1+$U$4)^(Worksheet!$B$20+1)*Worksheet!$D$10)/12*Request!$G24*Request!$I24,0),ROUND($G24*$I24*(1+$U$4)/12*Worksheet!$D$5,0))))))),(IF(AND($U$4="Multi",$T$4="FY"),ROUND(((1+$O24)^(Worksheet!$B$20+1)*Worksheet!$D$9+(1+$O24)^(Worksheet!$B$20+2)*Worksheet!$D$10)/12*Request!$G24*Request!$I24,0),(IF(AND($U$4="Multi",$T$4="PY"),ROUND($G24*$I24*(1+O24)/12*Worksheet!$D$5,0),(IF(AND($U$4&lt;&gt;"Multi",$T$4="FY"),ROUND(((1+$U$4)^(Worksheet!$B$20+1)*Worksheet!$D$9+(1+$U$4)^(Worksheet!$B$20+2)*Worksheet!$D$10)/12*Request!$G24*Request!$I24,0),ROUND($G24*$I24*(1+$U$4)/12*Worksheet!$D$5,0))))))))</f>
        <v>0</v>
      </c>
      <c r="R24" s="193">
        <f ca="1">IF(Worksheet!$C$4=Worksheet!$D$4,(IF(AND($U$4="Multi",$T$4="FY"),ROUND(((1+$O24)^(Worksheet!$B$20+1)*Worksheet!$E$9+(1+$O24)^(Worksheet!$B$20+2)*Worksheet!$E$10)/12*Request!$G24*Request!J24,0),(IF(AND($U$4="Multi",$T$4="PY"),ROUND($G24*J24*((1+$O24)^2)/12*Worksheet!$E$5,0),(IF(AND($U$4&lt;&gt;"Multi",$T$4="FY"),ROUND(((1+$U$4)^(Worksheet!$B$20+1)*Worksheet!$E$9+(1+$U$4)^(Worksheet!$B$20+2)*Worksheet!$E$10)/12*Request!$G24*Request!J24,0),ROUND($G24*J24*((1+$U$4)^2)/12*Worksheet!$E$5,0))))))),(IF(AND($U$4="Multi",$T$4="FY"),ROUND(((1+$O24)^(Worksheet!$B$20+2)*Worksheet!$E$9+(1+$O24)^(Worksheet!$B$20+3)*Worksheet!$E$10)/12*Request!$G24*Request!J24,0),(IF(AND($U$4="Multi",$T$4="PY"),ROUND($G24*J24*((1+$O24)^2)/12*Worksheet!$E$5,0),(IF(AND($U$4&lt;&gt;"Multi",$T$4="FY"),ROUND(((1+$U$4)^(Worksheet!$B$20+2)*Worksheet!$E$9+(1+$U$4)^(Worksheet!$B$20+3)*Worksheet!$E$10)/12*Request!$G24*Request!J24,0),ROUND($G24*J24*((1+$U$4)^2)/12*Worksheet!$E$5,0))))))))</f>
        <v>0</v>
      </c>
      <c r="S24" s="193">
        <f ca="1">IF(Worksheet!$C$4=Worksheet!$D$4,(IF(AND($U$4="Multi",$T$4="FY"),ROUND(((1+$O24)^(Worksheet!$B$20+2)*Worksheet!$F$9+(1+$O24)^(Worksheet!$B$20+3)*Worksheet!$F$10)/12*Request!$G24*Request!$K24,0),(IF(AND($U$4="Multi",$T$4="PY"),ROUND($G24*$K24*((1+$O24)^3)/12*Worksheet!$F$5,0),(IF(AND($U$4&lt;&gt;"Multi",$T$4="FY"),ROUND(((1+$U$4)^(Worksheet!$B$20+2)*Worksheet!$F$9+(1+$U$4)^(Worksheet!$B$20+3)*Worksheet!$F$10)/12*Request!$G24*Request!$K24,0),ROUND($G24*$K24*((1+$U$4)^3)/12*Worksheet!$F$5,0))))))),(IF(AND($U$4="Multi",$T$4="FY"),ROUND(((1+$O24)^(Worksheet!$B$20+3)*Worksheet!$F$9+(1+$O24)^(Worksheet!$B$20+4)*Worksheet!$F$10)/12*Request!$G24*Request!$K24,0),(IF(AND($U$4="Multi",$T$4="PY"),ROUND($G24*$K24*((1+$O24)^3)/12*Worksheet!$F$5,0),(IF(AND($U$4&lt;&gt;"Multi",$T$4="FY"),ROUND(((1+$U$4)^(Worksheet!$B$20+3)*Worksheet!$F$9+(1+$U$4)^(Worksheet!$B$20+4)*Worksheet!$F$10)/12*Request!$G24*Request!$K24,0),ROUND($G24*$K24*((1+$U$4)^3)/12*Worksheet!$F$5,0))))))))</f>
        <v>0</v>
      </c>
      <c r="T24" s="193">
        <f ca="1">IF(Worksheet!$C$4=Worksheet!$D$4,(IF(AND($U$4="Multi",$T$4="FY"),ROUND(((1+$O24)^(Worksheet!$B$20+3)*Worksheet!$G$9+(1+$O24)^(Worksheet!$B$20+4)*Worksheet!$G$10)/12*Request!$G24*Request!$L24,0),(IF(AND($U$4="Multi",$T$4="PY"),ROUND($G24*$L24*((1+$O24)^4)/12*Worksheet!$G$5,0),(IF(AND($U$4&lt;&gt;"Multi",$T$4="FY"),ROUND(((1+$U$4)^(Worksheet!$B$20+3)*Worksheet!$G$9+(1+$U$4)^(Worksheet!$B$20+4)*Worksheet!$G$10)/12*Request!$G24*Request!$L24,0),ROUND($G24*$L24*((1+$U$4)^4)/12*Worksheet!$G$5,0))))))),(IF(AND($U$4="Multi",$T$4="FY"),ROUND(((1+$O24)^(Worksheet!$B$20+4)*Worksheet!$G$9+(1+$O24)^(Worksheet!$B$20+5)*Worksheet!$G$10)/12*Request!$G24*Request!$L24,0),(IF(AND($U$4="Multi",$T$4="PY"),ROUND($G24*$L24*((1+$O24)^4)/12*Worksheet!$G$5,0),(IF(AND($U$4&lt;&gt;"Multi",$T$4="FY"),ROUND(((1+$U$4)^(Worksheet!$B$20+4)*Worksheet!$G$9+(1+$U$4)^(Worksheet!$B$20+5)*Worksheet!$G$10)/12*Request!$G24*Request!$L24,0),ROUND($G24*$L24*((1+$U$4)^4)/12*Worksheet!$G$5,0))))))))</f>
        <v>0</v>
      </c>
      <c r="U24" s="157">
        <f t="shared" ca="1" si="1"/>
        <v>0</v>
      </c>
      <c r="V24" s="203"/>
      <c r="W24" s="203"/>
      <c r="X24" s="203"/>
      <c r="Y24" s="203"/>
      <c r="Z24" s="203"/>
      <c r="AA24" s="204"/>
      <c r="AB24" s="204"/>
      <c r="AC24" s="204"/>
      <c r="AD24" s="204"/>
      <c r="AE24" s="204"/>
      <c r="AF24" s="195"/>
      <c r="AG24" s="195"/>
      <c r="AH24" s="195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  <c r="AY24" s="195"/>
      <c r="AZ24" s="195"/>
      <c r="BA24" s="195"/>
    </row>
    <row r="25" spans="1:53" hidden="1" x14ac:dyDescent="0.2">
      <c r="A25" s="161">
        <v>18</v>
      </c>
      <c r="B25" s="162"/>
      <c r="C25" s="162"/>
      <c r="D25" s="163"/>
      <c r="E25" s="257">
        <v>100000</v>
      </c>
      <c r="F25" s="257"/>
      <c r="G25" s="266">
        <f t="shared" si="0"/>
        <v>100000</v>
      </c>
      <c r="H25" s="303"/>
      <c r="I25" s="303"/>
      <c r="J25" s="303"/>
      <c r="K25" s="303"/>
      <c r="L25" s="303"/>
      <c r="M25" s="349" t="s">
        <v>237</v>
      </c>
      <c r="N25" s="350"/>
      <c r="O25" s="160">
        <v>0.03</v>
      </c>
      <c r="P25" s="193">
        <f ca="1">IF(AND($U$4="Multi",$T$4="FY"),ROUND(((1+$O25)^Worksheet!$B$20*Worksheet!$C$9+(1+$O25)^(Worksheet!$B$20+1)*Worksheet!$C$10)/12*Request!$G25*Request!$H25,0),(IF(AND($U$4="Multi",$T$4="PY"),ROUND(G25*H25/12*Worksheet!$C$5,0),(IF(AND($U$4&lt;&gt;"Multi",$T$4="FY"),ROUND(((1+$U$4)^Worksheet!$B$20*Worksheet!$C$9+(1+$U$4)^(Worksheet!$B$20+1)*Worksheet!$C$10)/12*Request!$G25*Request!$H25,0),ROUND($G25*$H25/12*Worksheet!$C$5,0))))))</f>
        <v>0</v>
      </c>
      <c r="Q25" s="193">
        <f ca="1">IF(Worksheet!$C$4=Worksheet!$D$4,(IF(AND($U$4="Multi",$T$4="FY"),ROUND(((1+$O25)^(Worksheet!$B$20)*Worksheet!$D$9+(1+$O25)^(Worksheet!$B$20+1)*Worksheet!$D$10)/12*Request!$G25*Request!$I25,0),(IF(AND($U$4="Multi",$T$4="PY"),ROUND($G25*$I25*(1+O25)/12*Worksheet!$D$5,0),(IF(AND($U$4&lt;&gt;"Multi",$T$4="FY"),ROUND(((1+$U$4)^(Worksheet!$B$20)*Worksheet!$D$9+(1+$U$4)^(Worksheet!$B$20+1)*Worksheet!$D$10)/12*Request!$G25*Request!$I25,0),ROUND($G25*$I25*(1+$U$4)/12*Worksheet!$D$5,0))))))),(IF(AND($U$4="Multi",$T$4="FY"),ROUND(((1+$O25)^(Worksheet!$B$20+1)*Worksheet!$D$9+(1+$O25)^(Worksheet!$B$20+2)*Worksheet!$D$10)/12*Request!$G25*Request!$I25,0),(IF(AND($U$4="Multi",$T$4="PY"),ROUND($G25*$I25*(1+O25)/12*Worksheet!$D$5,0),(IF(AND($U$4&lt;&gt;"Multi",$T$4="FY"),ROUND(((1+$U$4)^(Worksheet!$B$20+1)*Worksheet!$D$9+(1+$U$4)^(Worksheet!$B$20+2)*Worksheet!$D$10)/12*Request!$G25*Request!$I25,0),ROUND($G25*$I25*(1+$U$4)/12*Worksheet!$D$5,0))))))))</f>
        <v>0</v>
      </c>
      <c r="R25" s="193">
        <f ca="1">IF(Worksheet!$C$4=Worksheet!$D$4,(IF(AND($U$4="Multi",$T$4="FY"),ROUND(((1+$O25)^(Worksheet!$B$20+1)*Worksheet!$E$9+(1+$O25)^(Worksheet!$B$20+2)*Worksheet!$E$10)/12*Request!$G25*Request!J25,0),(IF(AND($U$4="Multi",$T$4="PY"),ROUND($G25*J25*((1+$O25)^2)/12*Worksheet!$E$5,0),(IF(AND($U$4&lt;&gt;"Multi",$T$4="FY"),ROUND(((1+$U$4)^(Worksheet!$B$20+1)*Worksheet!$E$9+(1+$U$4)^(Worksheet!$B$20+2)*Worksheet!$E$10)/12*Request!$G25*Request!J25,0),ROUND($G25*J25*((1+$U$4)^2)/12*Worksheet!$E$5,0))))))),(IF(AND($U$4="Multi",$T$4="FY"),ROUND(((1+$O25)^(Worksheet!$B$20+2)*Worksheet!$E$9+(1+$O25)^(Worksheet!$B$20+3)*Worksheet!$E$10)/12*Request!$G25*Request!J25,0),(IF(AND($U$4="Multi",$T$4="PY"),ROUND($G25*J25*((1+$O25)^2)/12*Worksheet!$E$5,0),(IF(AND($U$4&lt;&gt;"Multi",$T$4="FY"),ROUND(((1+$U$4)^(Worksheet!$B$20+2)*Worksheet!$E$9+(1+$U$4)^(Worksheet!$B$20+3)*Worksheet!$E$10)/12*Request!$G25*Request!J25,0),ROUND($G25*J25*((1+$U$4)^2)/12*Worksheet!$E$5,0))))))))</f>
        <v>0</v>
      </c>
      <c r="S25" s="193">
        <f ca="1">IF(Worksheet!$C$4=Worksheet!$D$4,(IF(AND($U$4="Multi",$T$4="FY"),ROUND(((1+$O25)^(Worksheet!$B$20+2)*Worksheet!$F$9+(1+$O25)^(Worksheet!$B$20+3)*Worksheet!$F$10)/12*Request!$G25*Request!$K25,0),(IF(AND($U$4="Multi",$T$4="PY"),ROUND($G25*$K25*((1+$O25)^3)/12*Worksheet!$F$5,0),(IF(AND($U$4&lt;&gt;"Multi",$T$4="FY"),ROUND(((1+$U$4)^(Worksheet!$B$20+2)*Worksheet!$F$9+(1+$U$4)^(Worksheet!$B$20+3)*Worksheet!$F$10)/12*Request!$G25*Request!$K25,0),ROUND($G25*$K25*((1+$U$4)^3)/12*Worksheet!$F$5,0))))))),(IF(AND($U$4="Multi",$T$4="FY"),ROUND(((1+$O25)^(Worksheet!$B$20+3)*Worksheet!$F$9+(1+$O25)^(Worksheet!$B$20+4)*Worksheet!$F$10)/12*Request!$G25*Request!$K25,0),(IF(AND($U$4="Multi",$T$4="PY"),ROUND($G25*$K25*((1+$O25)^3)/12*Worksheet!$F$5,0),(IF(AND($U$4&lt;&gt;"Multi",$T$4="FY"),ROUND(((1+$U$4)^(Worksheet!$B$20+3)*Worksheet!$F$9+(1+$U$4)^(Worksheet!$B$20+4)*Worksheet!$F$10)/12*Request!$G25*Request!$K25,0),ROUND($G25*$K25*((1+$U$4)^3)/12*Worksheet!$F$5,0))))))))</f>
        <v>0</v>
      </c>
      <c r="T25" s="193">
        <f ca="1">IF(Worksheet!$C$4=Worksheet!$D$4,(IF(AND($U$4="Multi",$T$4="FY"),ROUND(((1+$O25)^(Worksheet!$B$20+3)*Worksheet!$G$9+(1+$O25)^(Worksheet!$B$20+4)*Worksheet!$G$10)/12*Request!$G25*Request!$L25,0),(IF(AND($U$4="Multi",$T$4="PY"),ROUND($G25*$L25*((1+$O25)^4)/12*Worksheet!$G$5,0),(IF(AND($U$4&lt;&gt;"Multi",$T$4="FY"),ROUND(((1+$U$4)^(Worksheet!$B$20+3)*Worksheet!$G$9+(1+$U$4)^(Worksheet!$B$20+4)*Worksheet!$G$10)/12*Request!$G25*Request!$L25,0),ROUND($G25*$L25*((1+$U$4)^4)/12*Worksheet!$G$5,0))))))),(IF(AND($U$4="Multi",$T$4="FY"),ROUND(((1+$O25)^(Worksheet!$B$20+4)*Worksheet!$G$9+(1+$O25)^(Worksheet!$B$20+5)*Worksheet!$G$10)/12*Request!$G25*Request!$L25,0),(IF(AND($U$4="Multi",$T$4="PY"),ROUND($G25*$L25*((1+$O25)^4)/12*Worksheet!$G$5,0),(IF(AND($U$4&lt;&gt;"Multi",$T$4="FY"),ROUND(((1+$U$4)^(Worksheet!$B$20+4)*Worksheet!$G$9+(1+$U$4)^(Worksheet!$B$20+5)*Worksheet!$G$10)/12*Request!$G25*Request!$L25,0),ROUND($G25*$L25*((1+$U$4)^4)/12*Worksheet!$G$5,0))))))))</f>
        <v>0</v>
      </c>
      <c r="U25" s="157">
        <f t="shared" ca="1" si="1"/>
        <v>0</v>
      </c>
      <c r="V25" s="203"/>
      <c r="W25" s="203"/>
      <c r="X25" s="203"/>
      <c r="Y25" s="203"/>
      <c r="Z25" s="203"/>
      <c r="AA25" s="204"/>
      <c r="AB25" s="204"/>
      <c r="AC25" s="204"/>
      <c r="AD25" s="204"/>
      <c r="AE25" s="204"/>
      <c r="AF25" s="195"/>
      <c r="AG25" s="195"/>
      <c r="AH25" s="195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  <c r="AY25" s="195"/>
      <c r="AZ25" s="195"/>
      <c r="BA25" s="195"/>
    </row>
    <row r="26" spans="1:53" hidden="1" x14ac:dyDescent="0.2">
      <c r="A26" s="161">
        <v>19</v>
      </c>
      <c r="B26" s="162"/>
      <c r="C26" s="162"/>
      <c r="D26" s="163"/>
      <c r="E26" s="257">
        <v>100000</v>
      </c>
      <c r="F26" s="257"/>
      <c r="G26" s="266">
        <f t="shared" si="0"/>
        <v>100000</v>
      </c>
      <c r="H26" s="303"/>
      <c r="I26" s="303"/>
      <c r="J26" s="303"/>
      <c r="K26" s="303"/>
      <c r="L26" s="303"/>
      <c r="M26" s="349" t="s">
        <v>237</v>
      </c>
      <c r="N26" s="350"/>
      <c r="O26" s="160">
        <v>0.03</v>
      </c>
      <c r="P26" s="193">
        <f ca="1">IF(AND($U$4="Multi",$T$4="FY"),ROUND(((1+$O26)^Worksheet!$B$20*Worksheet!$C$9+(1+$O26)^(Worksheet!$B$20+1)*Worksheet!$C$10)/12*Request!$G26*Request!$H26,0),(IF(AND($U$4="Multi",$T$4="PY"),ROUND(G26*H26/12*Worksheet!$C$5,0),(IF(AND($U$4&lt;&gt;"Multi",$T$4="FY"),ROUND(((1+$U$4)^Worksheet!$B$20*Worksheet!$C$9+(1+$U$4)^(Worksheet!$B$20+1)*Worksheet!$C$10)/12*Request!$G26*Request!$H26,0),ROUND($G26*$H26/12*Worksheet!$C$5,0))))))</f>
        <v>0</v>
      </c>
      <c r="Q26" s="193">
        <f ca="1">IF(Worksheet!$C$4=Worksheet!$D$4,(IF(AND($U$4="Multi",$T$4="FY"),ROUND(((1+$O26)^(Worksheet!$B$20)*Worksheet!$D$9+(1+$O26)^(Worksheet!$B$20+1)*Worksheet!$D$10)/12*Request!$G26*Request!$I26,0),(IF(AND($U$4="Multi",$T$4="PY"),ROUND($G26*$I26*(1+O26)/12*Worksheet!$D$5,0),(IF(AND($U$4&lt;&gt;"Multi",$T$4="FY"),ROUND(((1+$U$4)^(Worksheet!$B$20)*Worksheet!$D$9+(1+$U$4)^(Worksheet!$B$20+1)*Worksheet!$D$10)/12*Request!$G26*Request!$I26,0),ROUND($G26*$I26*(1+$U$4)/12*Worksheet!$D$5,0))))))),(IF(AND($U$4="Multi",$T$4="FY"),ROUND(((1+$O26)^(Worksheet!$B$20+1)*Worksheet!$D$9+(1+$O26)^(Worksheet!$B$20+2)*Worksheet!$D$10)/12*Request!$G26*Request!$I26,0),(IF(AND($U$4="Multi",$T$4="PY"),ROUND($G26*$I26*(1+O26)/12*Worksheet!$D$5,0),(IF(AND($U$4&lt;&gt;"Multi",$T$4="FY"),ROUND(((1+$U$4)^(Worksheet!$B$20+1)*Worksheet!$D$9+(1+$U$4)^(Worksheet!$B$20+2)*Worksheet!$D$10)/12*Request!$G26*Request!$I26,0),ROUND($G26*$I26*(1+$U$4)/12*Worksheet!$D$5,0))))))))</f>
        <v>0</v>
      </c>
      <c r="R26" s="193">
        <f ca="1">IF(Worksheet!$C$4=Worksheet!$D$4,(IF(AND($U$4="Multi",$T$4="FY"),ROUND(((1+$O26)^(Worksheet!$B$20+1)*Worksheet!$E$9+(1+$O26)^(Worksheet!$B$20+2)*Worksheet!$E$10)/12*Request!$G26*Request!J26,0),(IF(AND($U$4="Multi",$T$4="PY"),ROUND($G26*J26*((1+$O26)^2)/12*Worksheet!$E$5,0),(IF(AND($U$4&lt;&gt;"Multi",$T$4="FY"),ROUND(((1+$U$4)^(Worksheet!$B$20+1)*Worksheet!$E$9+(1+$U$4)^(Worksheet!$B$20+2)*Worksheet!$E$10)/12*Request!$G26*Request!J26,0),ROUND($G26*J26*((1+$U$4)^2)/12*Worksheet!$E$5,0))))))),(IF(AND($U$4="Multi",$T$4="FY"),ROUND(((1+$O26)^(Worksheet!$B$20+2)*Worksheet!$E$9+(1+$O26)^(Worksheet!$B$20+3)*Worksheet!$E$10)/12*Request!$G26*Request!J26,0),(IF(AND($U$4="Multi",$T$4="PY"),ROUND($G26*J26*((1+$O26)^2)/12*Worksheet!$E$5,0),(IF(AND($U$4&lt;&gt;"Multi",$T$4="FY"),ROUND(((1+$U$4)^(Worksheet!$B$20+2)*Worksheet!$E$9+(1+$U$4)^(Worksheet!$B$20+3)*Worksheet!$E$10)/12*Request!$G26*Request!J26,0),ROUND($G26*J26*((1+$U$4)^2)/12*Worksheet!$E$5,0))))))))</f>
        <v>0</v>
      </c>
      <c r="S26" s="193">
        <f ca="1">IF(Worksheet!$C$4=Worksheet!$D$4,(IF(AND($U$4="Multi",$T$4="FY"),ROUND(((1+$O26)^(Worksheet!$B$20+2)*Worksheet!$F$9+(1+$O26)^(Worksheet!$B$20+3)*Worksheet!$F$10)/12*Request!$G26*Request!$K26,0),(IF(AND($U$4="Multi",$T$4="PY"),ROUND($G26*$K26*((1+$O26)^3)/12*Worksheet!$F$5,0),(IF(AND($U$4&lt;&gt;"Multi",$T$4="FY"),ROUND(((1+$U$4)^(Worksheet!$B$20+2)*Worksheet!$F$9+(1+$U$4)^(Worksheet!$B$20+3)*Worksheet!$F$10)/12*Request!$G26*Request!$K26,0),ROUND($G26*$K26*((1+$U$4)^3)/12*Worksheet!$F$5,0))))))),(IF(AND($U$4="Multi",$T$4="FY"),ROUND(((1+$O26)^(Worksheet!$B$20+3)*Worksheet!$F$9+(1+$O26)^(Worksheet!$B$20+4)*Worksheet!$F$10)/12*Request!$G26*Request!$K26,0),(IF(AND($U$4="Multi",$T$4="PY"),ROUND($G26*$K26*((1+$O26)^3)/12*Worksheet!$F$5,0),(IF(AND($U$4&lt;&gt;"Multi",$T$4="FY"),ROUND(((1+$U$4)^(Worksheet!$B$20+3)*Worksheet!$F$9+(1+$U$4)^(Worksheet!$B$20+4)*Worksheet!$F$10)/12*Request!$G26*Request!$K26,0),ROUND($G26*$K26*((1+$U$4)^3)/12*Worksheet!$F$5,0))))))))</f>
        <v>0</v>
      </c>
      <c r="T26" s="193">
        <f ca="1">IF(Worksheet!$C$4=Worksheet!$D$4,(IF(AND($U$4="Multi",$T$4="FY"),ROUND(((1+$O26)^(Worksheet!$B$20+3)*Worksheet!$G$9+(1+$O26)^(Worksheet!$B$20+4)*Worksheet!$G$10)/12*Request!$G26*Request!$L26,0),(IF(AND($U$4="Multi",$T$4="PY"),ROUND($G26*$L26*((1+$O26)^4)/12*Worksheet!$G$5,0),(IF(AND($U$4&lt;&gt;"Multi",$T$4="FY"),ROUND(((1+$U$4)^(Worksheet!$B$20+3)*Worksheet!$G$9+(1+$U$4)^(Worksheet!$B$20+4)*Worksheet!$G$10)/12*Request!$G26*Request!$L26,0),ROUND($G26*$L26*((1+$U$4)^4)/12*Worksheet!$G$5,0))))))),(IF(AND($U$4="Multi",$T$4="FY"),ROUND(((1+$O26)^(Worksheet!$B$20+4)*Worksheet!$G$9+(1+$O26)^(Worksheet!$B$20+5)*Worksheet!$G$10)/12*Request!$G26*Request!$L26,0),(IF(AND($U$4="Multi",$T$4="PY"),ROUND($G26*$L26*((1+$O26)^4)/12*Worksheet!$G$5,0),(IF(AND($U$4&lt;&gt;"Multi",$T$4="FY"),ROUND(((1+$U$4)^(Worksheet!$B$20+4)*Worksheet!$G$9+(1+$U$4)^(Worksheet!$B$20+5)*Worksheet!$G$10)/12*Request!$G26*Request!$L26,0),ROUND($G26*$L26*((1+$U$4)^4)/12*Worksheet!$G$5,0))))))))</f>
        <v>0</v>
      </c>
      <c r="U26" s="157">
        <f t="shared" ca="1" si="1"/>
        <v>0</v>
      </c>
      <c r="V26" s="203"/>
      <c r="W26" s="203"/>
      <c r="X26" s="203"/>
      <c r="Y26" s="203"/>
      <c r="Z26" s="203"/>
      <c r="AA26" s="204"/>
      <c r="AB26" s="204"/>
      <c r="AC26" s="204"/>
      <c r="AD26" s="204"/>
      <c r="AE26" s="204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</row>
    <row r="27" spans="1:53" hidden="1" x14ac:dyDescent="0.2">
      <c r="A27" s="161">
        <v>20</v>
      </c>
      <c r="B27" s="162"/>
      <c r="C27" s="162"/>
      <c r="D27" s="163"/>
      <c r="E27" s="257">
        <v>100000</v>
      </c>
      <c r="F27" s="257"/>
      <c r="G27" s="266">
        <f t="shared" si="0"/>
        <v>100000</v>
      </c>
      <c r="H27" s="303"/>
      <c r="I27" s="303"/>
      <c r="J27" s="303"/>
      <c r="K27" s="303"/>
      <c r="L27" s="303"/>
      <c r="M27" s="349" t="s">
        <v>237</v>
      </c>
      <c r="N27" s="350"/>
      <c r="O27" s="160">
        <v>0.03</v>
      </c>
      <c r="P27" s="193">
        <f ca="1">IF(AND($U$4="Multi",$T$4="FY"),ROUND(((1+$O27)^Worksheet!$B$20*Worksheet!$C$9+(1+$O27)^(Worksheet!$B$20+1)*Worksheet!$C$10)/12*Request!$G27*Request!$H27,0),(IF(AND($U$4="Multi",$T$4="PY"),ROUND(G27*H27/12*Worksheet!$C$5,0),(IF(AND($U$4&lt;&gt;"Multi",$T$4="FY"),ROUND(((1+$U$4)^Worksheet!$B$20*Worksheet!$C$9+(1+$U$4)^(Worksheet!$B$20+1)*Worksheet!$C$10)/12*Request!$G27*Request!$H27,0),ROUND($G27*$H27/12*Worksheet!$C$5,0))))))</f>
        <v>0</v>
      </c>
      <c r="Q27" s="193">
        <f ca="1">IF(Worksheet!$C$4=Worksheet!$D$4,(IF(AND($U$4="Multi",$T$4="FY"),ROUND(((1+$O27)^(Worksheet!$B$20)*Worksheet!$D$9+(1+$O27)^(Worksheet!$B$20+1)*Worksheet!$D$10)/12*Request!$G27*Request!$I27,0),(IF(AND($U$4="Multi",$T$4="PY"),ROUND($G27*$I27*(1+O27)/12*Worksheet!$D$5,0),(IF(AND($U$4&lt;&gt;"Multi",$T$4="FY"),ROUND(((1+$U$4)^(Worksheet!$B$20)*Worksheet!$D$9+(1+$U$4)^(Worksheet!$B$20+1)*Worksheet!$D$10)/12*Request!$G27*Request!$I27,0),ROUND($G27*$I27*(1+$U$4)/12*Worksheet!$D$5,0))))))),(IF(AND($U$4="Multi",$T$4="FY"),ROUND(((1+$O27)^(Worksheet!$B$20+1)*Worksheet!$D$9+(1+$O27)^(Worksheet!$B$20+2)*Worksheet!$D$10)/12*Request!$G27*Request!$I27,0),(IF(AND($U$4="Multi",$T$4="PY"),ROUND($G27*$I27*(1+O27)/12*Worksheet!$D$5,0),(IF(AND($U$4&lt;&gt;"Multi",$T$4="FY"),ROUND(((1+$U$4)^(Worksheet!$B$20+1)*Worksheet!$D$9+(1+$U$4)^(Worksheet!$B$20+2)*Worksheet!$D$10)/12*Request!$G27*Request!$I27,0),ROUND($G27*$I27*(1+$U$4)/12*Worksheet!$D$5,0))))))))</f>
        <v>0</v>
      </c>
      <c r="R27" s="193">
        <f ca="1">IF(Worksheet!$C$4=Worksheet!$D$4,(IF(AND($U$4="Multi",$T$4="FY"),ROUND(((1+$O27)^(Worksheet!$B$20+1)*Worksheet!$E$9+(1+$O27)^(Worksheet!$B$20+2)*Worksheet!$E$10)/12*Request!$G27*Request!J27,0),(IF(AND($U$4="Multi",$T$4="PY"),ROUND($G27*J27*((1+$O27)^2)/12*Worksheet!$E$5,0),(IF(AND($U$4&lt;&gt;"Multi",$T$4="FY"),ROUND(((1+$U$4)^(Worksheet!$B$20+1)*Worksheet!$E$9+(1+$U$4)^(Worksheet!$B$20+2)*Worksheet!$E$10)/12*Request!$G27*Request!J27,0),ROUND($G27*J27*((1+$U$4)^2)/12*Worksheet!$E$5,0))))))),(IF(AND($U$4="Multi",$T$4="FY"),ROUND(((1+$O27)^(Worksheet!$B$20+2)*Worksheet!$E$9+(1+$O27)^(Worksheet!$B$20+3)*Worksheet!$E$10)/12*Request!$G27*Request!J27,0),(IF(AND($U$4="Multi",$T$4="PY"),ROUND($G27*J27*((1+$O27)^2)/12*Worksheet!$E$5,0),(IF(AND($U$4&lt;&gt;"Multi",$T$4="FY"),ROUND(((1+$U$4)^(Worksheet!$B$20+2)*Worksheet!$E$9+(1+$U$4)^(Worksheet!$B$20+3)*Worksheet!$E$10)/12*Request!$G27*Request!J27,0),ROUND($G27*J27*((1+$U$4)^2)/12*Worksheet!$E$5,0))))))))</f>
        <v>0</v>
      </c>
      <c r="S27" s="193">
        <f ca="1">IF(Worksheet!$C$4=Worksheet!$D$4,(IF(AND($U$4="Multi",$T$4="FY"),ROUND(((1+$O27)^(Worksheet!$B$20+2)*Worksheet!$F$9+(1+$O27)^(Worksheet!$B$20+3)*Worksheet!$F$10)/12*Request!$G27*Request!$K27,0),(IF(AND($U$4="Multi",$T$4="PY"),ROUND($G27*$K27*((1+$O27)^3)/12*Worksheet!$F$5,0),(IF(AND($U$4&lt;&gt;"Multi",$T$4="FY"),ROUND(((1+$U$4)^(Worksheet!$B$20+2)*Worksheet!$F$9+(1+$U$4)^(Worksheet!$B$20+3)*Worksheet!$F$10)/12*Request!$G27*Request!$K27,0),ROUND($G27*$K27*((1+$U$4)^3)/12*Worksheet!$F$5,0))))))),(IF(AND($U$4="Multi",$T$4="FY"),ROUND(((1+$O27)^(Worksheet!$B$20+3)*Worksheet!$F$9+(1+$O27)^(Worksheet!$B$20+4)*Worksheet!$F$10)/12*Request!$G27*Request!$K27,0),(IF(AND($U$4="Multi",$T$4="PY"),ROUND($G27*$K27*((1+$O27)^3)/12*Worksheet!$F$5,0),(IF(AND($U$4&lt;&gt;"Multi",$T$4="FY"),ROUND(((1+$U$4)^(Worksheet!$B$20+3)*Worksheet!$F$9+(1+$U$4)^(Worksheet!$B$20+4)*Worksheet!$F$10)/12*Request!$G27*Request!$K27,0),ROUND($G27*$K27*((1+$U$4)^3)/12*Worksheet!$F$5,0))))))))</f>
        <v>0</v>
      </c>
      <c r="T27" s="193">
        <f ca="1">IF(Worksheet!$C$4=Worksheet!$D$4,(IF(AND($U$4="Multi",$T$4="FY"),ROUND(((1+$O27)^(Worksheet!$B$20+3)*Worksheet!$G$9+(1+$O27)^(Worksheet!$B$20+4)*Worksheet!$G$10)/12*Request!$G27*Request!$L27,0),(IF(AND($U$4="Multi",$T$4="PY"),ROUND($G27*$L27*((1+$O27)^4)/12*Worksheet!$G$5,0),(IF(AND($U$4&lt;&gt;"Multi",$T$4="FY"),ROUND(((1+$U$4)^(Worksheet!$B$20+3)*Worksheet!$G$9+(1+$U$4)^(Worksheet!$B$20+4)*Worksheet!$G$10)/12*Request!$G27*Request!$L27,0),ROUND($G27*$L27*((1+$U$4)^4)/12*Worksheet!$G$5,0))))))),(IF(AND($U$4="Multi",$T$4="FY"),ROUND(((1+$O27)^(Worksheet!$B$20+4)*Worksheet!$G$9+(1+$O27)^(Worksheet!$B$20+5)*Worksheet!$G$10)/12*Request!$G27*Request!$L27,0),(IF(AND($U$4="Multi",$T$4="PY"),ROUND($G27*$L27*((1+$O27)^4)/12*Worksheet!$G$5,0),(IF(AND($U$4&lt;&gt;"Multi",$T$4="FY"),ROUND(((1+$U$4)^(Worksheet!$B$20+4)*Worksheet!$G$9+(1+$U$4)^(Worksheet!$B$20+5)*Worksheet!$G$10)/12*Request!$G27*Request!$L27,0),ROUND($G27*$L27*((1+$U$4)^4)/12*Worksheet!$G$5,0))))))))</f>
        <v>0</v>
      </c>
      <c r="U27" s="157">
        <f t="shared" ca="1" si="1"/>
        <v>0</v>
      </c>
      <c r="V27" s="203"/>
      <c r="W27" s="203"/>
      <c r="X27" s="203"/>
      <c r="Y27" s="203"/>
      <c r="Z27" s="203"/>
      <c r="AA27" s="204"/>
      <c r="AB27" s="204"/>
      <c r="AC27" s="204"/>
      <c r="AD27" s="204"/>
      <c r="AE27" s="204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</row>
    <row r="28" spans="1:53" hidden="1" x14ac:dyDescent="0.2">
      <c r="A28" s="161">
        <v>21</v>
      </c>
      <c r="B28" s="162"/>
      <c r="C28" s="162"/>
      <c r="D28" s="163"/>
      <c r="E28" s="257">
        <v>100000</v>
      </c>
      <c r="F28" s="257"/>
      <c r="G28" s="266">
        <f t="shared" si="0"/>
        <v>100000</v>
      </c>
      <c r="H28" s="303"/>
      <c r="I28" s="303"/>
      <c r="J28" s="303"/>
      <c r="K28" s="303"/>
      <c r="L28" s="303"/>
      <c r="M28" s="349" t="s">
        <v>237</v>
      </c>
      <c r="N28" s="350"/>
      <c r="O28" s="160">
        <v>0.03</v>
      </c>
      <c r="P28" s="193">
        <f ca="1">IF(AND($U$4="Multi",$T$4="FY"),ROUND(((1+$O28)^Worksheet!$B$20*Worksheet!$C$9+(1+$O28)^(Worksheet!$B$20+1)*Worksheet!$C$10)/12*Request!$G28*Request!$H28,0),(IF(AND($U$4="Multi",$T$4="PY"),ROUND(G28*H28/12*Worksheet!$C$5,0),(IF(AND($U$4&lt;&gt;"Multi",$T$4="FY"),ROUND(((1+$U$4)^Worksheet!$B$20*Worksheet!$C$9+(1+$U$4)^(Worksheet!$B$20+1)*Worksheet!$C$10)/12*Request!$G28*Request!$H28,0),ROUND($G28*$H28/12*Worksheet!$C$5,0))))))</f>
        <v>0</v>
      </c>
      <c r="Q28" s="193">
        <f ca="1">IF(Worksheet!$C$4=Worksheet!$D$4,(IF(AND($U$4="Multi",$T$4="FY"),ROUND(((1+$O28)^(Worksheet!$B$20)*Worksheet!$D$9+(1+$O28)^(Worksheet!$B$20+1)*Worksheet!$D$10)/12*Request!$G28*Request!$I28,0),(IF(AND($U$4="Multi",$T$4="PY"),ROUND($G28*$I28*(1+O28)/12*Worksheet!$D$5,0),(IF(AND($U$4&lt;&gt;"Multi",$T$4="FY"),ROUND(((1+$U$4)^(Worksheet!$B$20)*Worksheet!$D$9+(1+$U$4)^(Worksheet!$B$20+1)*Worksheet!$D$10)/12*Request!$G28*Request!$I28,0),ROUND($G28*$I28*(1+$U$4)/12*Worksheet!$D$5,0))))))),(IF(AND($U$4="Multi",$T$4="FY"),ROUND(((1+$O28)^(Worksheet!$B$20+1)*Worksheet!$D$9+(1+$O28)^(Worksheet!$B$20+2)*Worksheet!$D$10)/12*Request!$G28*Request!$I28,0),(IF(AND($U$4="Multi",$T$4="PY"),ROUND($G28*$I28*(1+O28)/12*Worksheet!$D$5,0),(IF(AND($U$4&lt;&gt;"Multi",$T$4="FY"),ROUND(((1+$U$4)^(Worksheet!$B$20+1)*Worksheet!$D$9+(1+$U$4)^(Worksheet!$B$20+2)*Worksheet!$D$10)/12*Request!$G28*Request!$I28,0),ROUND($G28*$I28*(1+$U$4)/12*Worksheet!$D$5,0))))))))</f>
        <v>0</v>
      </c>
      <c r="R28" s="193">
        <f ca="1">IF(Worksheet!$C$4=Worksheet!$D$4,(IF(AND($U$4="Multi",$T$4="FY"),ROUND(((1+$O28)^(Worksheet!$B$20+1)*Worksheet!$E$9+(1+$O28)^(Worksheet!$B$20+2)*Worksheet!$E$10)/12*Request!$G28*Request!J28,0),(IF(AND($U$4="Multi",$T$4="PY"),ROUND($G28*J28*((1+$O28)^2)/12*Worksheet!$E$5,0),(IF(AND($U$4&lt;&gt;"Multi",$T$4="FY"),ROUND(((1+$U$4)^(Worksheet!$B$20+1)*Worksheet!$E$9+(1+$U$4)^(Worksheet!$B$20+2)*Worksheet!$E$10)/12*Request!$G28*Request!J28,0),ROUND($G28*J28*((1+$U$4)^2)/12*Worksheet!$E$5,0))))))),(IF(AND($U$4="Multi",$T$4="FY"),ROUND(((1+$O28)^(Worksheet!$B$20+2)*Worksheet!$E$9+(1+$O28)^(Worksheet!$B$20+3)*Worksheet!$E$10)/12*Request!$G28*Request!J28,0),(IF(AND($U$4="Multi",$T$4="PY"),ROUND($G28*J28*((1+$O28)^2)/12*Worksheet!$E$5,0),(IF(AND($U$4&lt;&gt;"Multi",$T$4="FY"),ROUND(((1+$U$4)^(Worksheet!$B$20+2)*Worksheet!$E$9+(1+$U$4)^(Worksheet!$B$20+3)*Worksheet!$E$10)/12*Request!$G28*Request!J28,0),ROUND($G28*J28*((1+$U$4)^2)/12*Worksheet!$E$5,0))))))))</f>
        <v>0</v>
      </c>
      <c r="S28" s="193">
        <f ca="1">IF(Worksheet!$C$4=Worksheet!$D$4,(IF(AND($U$4="Multi",$T$4="FY"),ROUND(((1+$O28)^(Worksheet!$B$20+2)*Worksheet!$F$9+(1+$O28)^(Worksheet!$B$20+3)*Worksheet!$F$10)/12*Request!$G28*Request!$K28,0),(IF(AND($U$4="Multi",$T$4="PY"),ROUND($G28*$K28*((1+$O28)^3)/12*Worksheet!$F$5,0),(IF(AND($U$4&lt;&gt;"Multi",$T$4="FY"),ROUND(((1+$U$4)^(Worksheet!$B$20+2)*Worksheet!$F$9+(1+$U$4)^(Worksheet!$B$20+3)*Worksheet!$F$10)/12*Request!$G28*Request!$K28,0),ROUND($G28*$K28*((1+$U$4)^3)/12*Worksheet!$F$5,0))))))),(IF(AND($U$4="Multi",$T$4="FY"),ROUND(((1+$O28)^(Worksheet!$B$20+3)*Worksheet!$F$9+(1+$O28)^(Worksheet!$B$20+4)*Worksheet!$F$10)/12*Request!$G28*Request!$K28,0),(IF(AND($U$4="Multi",$T$4="PY"),ROUND($G28*$K28*((1+$O28)^3)/12*Worksheet!$F$5,0),(IF(AND($U$4&lt;&gt;"Multi",$T$4="FY"),ROUND(((1+$U$4)^(Worksheet!$B$20+3)*Worksheet!$F$9+(1+$U$4)^(Worksheet!$B$20+4)*Worksheet!$F$10)/12*Request!$G28*Request!$K28,0),ROUND($G28*$K28*((1+$U$4)^3)/12*Worksheet!$F$5,0))))))))</f>
        <v>0</v>
      </c>
      <c r="T28" s="193">
        <f ca="1">IF(Worksheet!$C$4=Worksheet!$D$4,(IF(AND($U$4="Multi",$T$4="FY"),ROUND(((1+$O28)^(Worksheet!$B$20+3)*Worksheet!$G$9+(1+$O28)^(Worksheet!$B$20+4)*Worksheet!$G$10)/12*Request!$G28*Request!$L28,0),(IF(AND($U$4="Multi",$T$4="PY"),ROUND($G28*$L28*((1+$O28)^4)/12*Worksheet!$G$5,0),(IF(AND($U$4&lt;&gt;"Multi",$T$4="FY"),ROUND(((1+$U$4)^(Worksheet!$B$20+3)*Worksheet!$G$9+(1+$U$4)^(Worksheet!$B$20+4)*Worksheet!$G$10)/12*Request!$G28*Request!$L28,0),ROUND($G28*$L28*((1+$U$4)^4)/12*Worksheet!$G$5,0))))))),(IF(AND($U$4="Multi",$T$4="FY"),ROUND(((1+$O28)^(Worksheet!$B$20+4)*Worksheet!$G$9+(1+$O28)^(Worksheet!$B$20+5)*Worksheet!$G$10)/12*Request!$G28*Request!$L28,0),(IF(AND($U$4="Multi",$T$4="PY"),ROUND($G28*$L28*((1+$O28)^4)/12*Worksheet!$G$5,0),(IF(AND($U$4&lt;&gt;"Multi",$T$4="FY"),ROUND(((1+$U$4)^(Worksheet!$B$20+4)*Worksheet!$G$9+(1+$U$4)^(Worksheet!$B$20+5)*Worksheet!$G$10)/12*Request!$G28*Request!$L28,0),ROUND($G28*$L28*((1+$U$4)^4)/12*Worksheet!$G$5,0))))))))</f>
        <v>0</v>
      </c>
      <c r="U28" s="157">
        <f t="shared" ca="1" si="1"/>
        <v>0</v>
      </c>
      <c r="V28" s="203"/>
      <c r="W28" s="203"/>
      <c r="X28" s="203"/>
      <c r="Y28" s="203"/>
      <c r="Z28" s="203"/>
      <c r="AA28" s="204"/>
      <c r="AB28" s="204"/>
      <c r="AC28" s="204"/>
      <c r="AD28" s="204"/>
      <c r="AE28" s="204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5"/>
      <c r="AW28" s="195"/>
      <c r="AX28" s="195"/>
      <c r="AY28" s="195"/>
      <c r="AZ28" s="195"/>
      <c r="BA28" s="195"/>
    </row>
    <row r="29" spans="1:53" hidden="1" x14ac:dyDescent="0.2">
      <c r="A29" s="161">
        <v>22</v>
      </c>
      <c r="B29" s="162"/>
      <c r="C29" s="162"/>
      <c r="D29" s="163"/>
      <c r="E29" s="257">
        <v>100000</v>
      </c>
      <c r="F29" s="257"/>
      <c r="G29" s="266">
        <f t="shared" si="0"/>
        <v>100000</v>
      </c>
      <c r="H29" s="303"/>
      <c r="I29" s="303"/>
      <c r="J29" s="303"/>
      <c r="K29" s="303"/>
      <c r="L29" s="303"/>
      <c r="M29" s="349" t="s">
        <v>237</v>
      </c>
      <c r="N29" s="350"/>
      <c r="O29" s="160">
        <v>0.03</v>
      </c>
      <c r="P29" s="193">
        <f ca="1">IF(AND($U$4="Multi",$T$4="FY"),ROUND(((1+$O29)^Worksheet!$B$20*Worksheet!$C$9+(1+$O29)^(Worksheet!$B$20+1)*Worksheet!$C$10)/12*Request!$G29*Request!$H29,0),(IF(AND($U$4="Multi",$T$4="PY"),ROUND(G29*H29/12*Worksheet!$C$5,0),(IF(AND($U$4&lt;&gt;"Multi",$T$4="FY"),ROUND(((1+$U$4)^Worksheet!$B$20*Worksheet!$C$9+(1+$U$4)^(Worksheet!$B$20+1)*Worksheet!$C$10)/12*Request!$G29*Request!$H29,0),ROUND($G29*$H29/12*Worksheet!$C$5,0))))))</f>
        <v>0</v>
      </c>
      <c r="Q29" s="193">
        <f ca="1">IF(Worksheet!$C$4=Worksheet!$D$4,(IF(AND($U$4="Multi",$T$4="FY"),ROUND(((1+$O29)^(Worksheet!$B$20)*Worksheet!$D$9+(1+$O29)^(Worksheet!$B$20+1)*Worksheet!$D$10)/12*Request!$G29*Request!$I29,0),(IF(AND($U$4="Multi",$T$4="PY"),ROUND($G29*$I29*(1+O29)/12*Worksheet!$D$5,0),(IF(AND($U$4&lt;&gt;"Multi",$T$4="FY"),ROUND(((1+$U$4)^(Worksheet!$B$20)*Worksheet!$D$9+(1+$U$4)^(Worksheet!$B$20+1)*Worksheet!$D$10)/12*Request!$G29*Request!$I29,0),ROUND($G29*$I29*(1+$U$4)/12*Worksheet!$D$5,0))))))),(IF(AND($U$4="Multi",$T$4="FY"),ROUND(((1+$O29)^(Worksheet!$B$20+1)*Worksheet!$D$9+(1+$O29)^(Worksheet!$B$20+2)*Worksheet!$D$10)/12*Request!$G29*Request!$I29,0),(IF(AND($U$4="Multi",$T$4="PY"),ROUND($G29*$I29*(1+O29)/12*Worksheet!$D$5,0),(IF(AND($U$4&lt;&gt;"Multi",$T$4="FY"),ROUND(((1+$U$4)^(Worksheet!$B$20+1)*Worksheet!$D$9+(1+$U$4)^(Worksheet!$B$20+2)*Worksheet!$D$10)/12*Request!$G29*Request!$I29,0),ROUND($G29*$I29*(1+$U$4)/12*Worksheet!$D$5,0))))))))</f>
        <v>0</v>
      </c>
      <c r="R29" s="193">
        <f ca="1">IF(Worksheet!$C$4=Worksheet!$D$4,(IF(AND($U$4="Multi",$T$4="FY"),ROUND(((1+$O29)^(Worksheet!$B$20+1)*Worksheet!$E$9+(1+$O29)^(Worksheet!$B$20+2)*Worksheet!$E$10)/12*Request!$G29*Request!J29,0),(IF(AND($U$4="Multi",$T$4="PY"),ROUND($G29*J29*((1+$O29)^2)/12*Worksheet!$E$5,0),(IF(AND($U$4&lt;&gt;"Multi",$T$4="FY"),ROUND(((1+$U$4)^(Worksheet!$B$20+1)*Worksheet!$E$9+(1+$U$4)^(Worksheet!$B$20+2)*Worksheet!$E$10)/12*Request!$G29*Request!J29,0),ROUND($G29*J29*((1+$U$4)^2)/12*Worksheet!$E$5,0))))))),(IF(AND($U$4="Multi",$T$4="FY"),ROUND(((1+$O29)^(Worksheet!$B$20+2)*Worksheet!$E$9+(1+$O29)^(Worksheet!$B$20+3)*Worksheet!$E$10)/12*Request!$G29*Request!J29,0),(IF(AND($U$4="Multi",$T$4="PY"),ROUND($G29*J29*((1+$O29)^2)/12*Worksheet!$E$5,0),(IF(AND($U$4&lt;&gt;"Multi",$T$4="FY"),ROUND(((1+$U$4)^(Worksheet!$B$20+2)*Worksheet!$E$9+(1+$U$4)^(Worksheet!$B$20+3)*Worksheet!$E$10)/12*Request!$G29*Request!J29,0),ROUND($G29*J29*((1+$U$4)^2)/12*Worksheet!$E$5,0))))))))</f>
        <v>0</v>
      </c>
      <c r="S29" s="193">
        <f ca="1">IF(Worksheet!$C$4=Worksheet!$D$4,(IF(AND($U$4="Multi",$T$4="FY"),ROUND(((1+$O29)^(Worksheet!$B$20+2)*Worksheet!$F$9+(1+$O29)^(Worksheet!$B$20+3)*Worksheet!$F$10)/12*Request!$G29*Request!$K29,0),(IF(AND($U$4="Multi",$T$4="PY"),ROUND($G29*$K29*((1+$O29)^3)/12*Worksheet!$F$5,0),(IF(AND($U$4&lt;&gt;"Multi",$T$4="FY"),ROUND(((1+$U$4)^(Worksheet!$B$20+2)*Worksheet!$F$9+(1+$U$4)^(Worksheet!$B$20+3)*Worksheet!$F$10)/12*Request!$G29*Request!$K29,0),ROUND($G29*$K29*((1+$U$4)^3)/12*Worksheet!$F$5,0))))))),(IF(AND($U$4="Multi",$T$4="FY"),ROUND(((1+$O29)^(Worksheet!$B$20+3)*Worksheet!$F$9+(1+$O29)^(Worksheet!$B$20+4)*Worksheet!$F$10)/12*Request!$G29*Request!$K29,0),(IF(AND($U$4="Multi",$T$4="PY"),ROUND($G29*$K29*((1+$O29)^3)/12*Worksheet!$F$5,0),(IF(AND($U$4&lt;&gt;"Multi",$T$4="FY"),ROUND(((1+$U$4)^(Worksheet!$B$20+3)*Worksheet!$F$9+(1+$U$4)^(Worksheet!$B$20+4)*Worksheet!$F$10)/12*Request!$G29*Request!$K29,0),ROUND($G29*$K29*((1+$U$4)^3)/12*Worksheet!$F$5,0))))))))</f>
        <v>0</v>
      </c>
      <c r="T29" s="193">
        <f ca="1">IF(Worksheet!$C$4=Worksheet!$D$4,(IF(AND($U$4="Multi",$T$4="FY"),ROUND(((1+$O29)^(Worksheet!$B$20+3)*Worksheet!$G$9+(1+$O29)^(Worksheet!$B$20+4)*Worksheet!$G$10)/12*Request!$G29*Request!$L29,0),(IF(AND($U$4="Multi",$T$4="PY"),ROUND($G29*$L29*((1+$O29)^4)/12*Worksheet!$G$5,0),(IF(AND($U$4&lt;&gt;"Multi",$T$4="FY"),ROUND(((1+$U$4)^(Worksheet!$B$20+3)*Worksheet!$G$9+(1+$U$4)^(Worksheet!$B$20+4)*Worksheet!$G$10)/12*Request!$G29*Request!$L29,0),ROUND($G29*$L29*((1+$U$4)^4)/12*Worksheet!$G$5,0))))))),(IF(AND($U$4="Multi",$T$4="FY"),ROUND(((1+$O29)^(Worksheet!$B$20+4)*Worksheet!$G$9+(1+$O29)^(Worksheet!$B$20+5)*Worksheet!$G$10)/12*Request!$G29*Request!$L29,0),(IF(AND($U$4="Multi",$T$4="PY"),ROUND($G29*$L29*((1+$O29)^4)/12*Worksheet!$G$5,0),(IF(AND($U$4&lt;&gt;"Multi",$T$4="FY"),ROUND(((1+$U$4)^(Worksheet!$B$20+4)*Worksheet!$G$9+(1+$U$4)^(Worksheet!$B$20+5)*Worksheet!$G$10)/12*Request!$G29*Request!$L29,0),ROUND($G29*$L29*((1+$U$4)^4)/12*Worksheet!$G$5,0))))))))</f>
        <v>0</v>
      </c>
      <c r="U29" s="157">
        <f t="shared" ca="1" si="1"/>
        <v>0</v>
      </c>
      <c r="V29" s="203"/>
      <c r="W29" s="203"/>
      <c r="X29" s="203"/>
      <c r="Y29" s="203"/>
      <c r="Z29" s="203"/>
      <c r="AA29" s="204"/>
      <c r="AB29" s="204"/>
      <c r="AC29" s="204"/>
      <c r="AD29" s="204"/>
      <c r="AE29" s="204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</row>
    <row r="30" spans="1:53" hidden="1" x14ac:dyDescent="0.2">
      <c r="A30" s="161">
        <v>23</v>
      </c>
      <c r="B30" s="162"/>
      <c r="C30" s="162"/>
      <c r="D30" s="163"/>
      <c r="E30" s="257">
        <v>100000</v>
      </c>
      <c r="F30" s="257"/>
      <c r="G30" s="266">
        <f t="shared" si="0"/>
        <v>100000</v>
      </c>
      <c r="H30" s="303"/>
      <c r="I30" s="303"/>
      <c r="J30" s="303"/>
      <c r="K30" s="303"/>
      <c r="L30" s="303"/>
      <c r="M30" s="349" t="s">
        <v>237</v>
      </c>
      <c r="N30" s="350"/>
      <c r="O30" s="160">
        <v>0.03</v>
      </c>
      <c r="P30" s="193">
        <f ca="1">IF(AND($U$4="Multi",$T$4="FY"),ROUND(((1+$O30)^Worksheet!$B$20*Worksheet!$C$9+(1+$O30)^(Worksheet!$B$20+1)*Worksheet!$C$10)/12*Request!$G30*Request!$H30,0),(IF(AND($U$4="Multi",$T$4="PY"),ROUND(G30*H30/12*Worksheet!$C$5,0),(IF(AND($U$4&lt;&gt;"Multi",$T$4="FY"),ROUND(((1+$U$4)^Worksheet!$B$20*Worksheet!$C$9+(1+$U$4)^(Worksheet!$B$20+1)*Worksheet!$C$10)/12*Request!$G30*Request!$H30,0),ROUND($G30*$H30/12*Worksheet!$C$5,0))))))</f>
        <v>0</v>
      </c>
      <c r="Q30" s="193">
        <f ca="1">IF(Worksheet!$C$4=Worksheet!$D$4,(IF(AND($U$4="Multi",$T$4="FY"),ROUND(((1+$O30)^(Worksheet!$B$20)*Worksheet!$D$9+(1+$O30)^(Worksheet!$B$20+1)*Worksheet!$D$10)/12*Request!$G30*Request!$I30,0),(IF(AND($U$4="Multi",$T$4="PY"),ROUND($G30*$I30*(1+O30)/12*Worksheet!$D$5,0),(IF(AND($U$4&lt;&gt;"Multi",$T$4="FY"),ROUND(((1+$U$4)^(Worksheet!$B$20)*Worksheet!$D$9+(1+$U$4)^(Worksheet!$B$20+1)*Worksheet!$D$10)/12*Request!$G30*Request!$I30,0),ROUND($G30*$I30*(1+$U$4)/12*Worksheet!$D$5,0))))))),(IF(AND($U$4="Multi",$T$4="FY"),ROUND(((1+$O30)^(Worksheet!$B$20+1)*Worksheet!$D$9+(1+$O30)^(Worksheet!$B$20+2)*Worksheet!$D$10)/12*Request!$G30*Request!$I30,0),(IF(AND($U$4="Multi",$T$4="PY"),ROUND($G30*$I30*(1+O30)/12*Worksheet!$D$5,0),(IF(AND($U$4&lt;&gt;"Multi",$T$4="FY"),ROUND(((1+$U$4)^(Worksheet!$B$20+1)*Worksheet!$D$9+(1+$U$4)^(Worksheet!$B$20+2)*Worksheet!$D$10)/12*Request!$G30*Request!$I30,0),ROUND($G30*$I30*(1+$U$4)/12*Worksheet!$D$5,0))))))))</f>
        <v>0</v>
      </c>
      <c r="R30" s="193">
        <f ca="1">IF(Worksheet!$C$4=Worksheet!$D$4,(IF(AND($U$4="Multi",$T$4="FY"),ROUND(((1+$O30)^(Worksheet!$B$20+1)*Worksheet!$E$9+(1+$O30)^(Worksheet!$B$20+2)*Worksheet!$E$10)/12*Request!$G30*Request!J30,0),(IF(AND($U$4="Multi",$T$4="PY"),ROUND($G30*J30*((1+$O30)^2)/12*Worksheet!$E$5,0),(IF(AND($U$4&lt;&gt;"Multi",$T$4="FY"),ROUND(((1+$U$4)^(Worksheet!$B$20+1)*Worksheet!$E$9+(1+$U$4)^(Worksheet!$B$20+2)*Worksheet!$E$10)/12*Request!$G30*Request!J30,0),ROUND($G30*J30*((1+$U$4)^2)/12*Worksheet!$E$5,0))))))),(IF(AND($U$4="Multi",$T$4="FY"),ROUND(((1+$O30)^(Worksheet!$B$20+2)*Worksheet!$E$9+(1+$O30)^(Worksheet!$B$20+3)*Worksheet!$E$10)/12*Request!$G30*Request!J30,0),(IF(AND($U$4="Multi",$T$4="PY"),ROUND($G30*J30*((1+$O30)^2)/12*Worksheet!$E$5,0),(IF(AND($U$4&lt;&gt;"Multi",$T$4="FY"),ROUND(((1+$U$4)^(Worksheet!$B$20+2)*Worksheet!$E$9+(1+$U$4)^(Worksheet!$B$20+3)*Worksheet!$E$10)/12*Request!$G30*Request!J30,0),ROUND($G30*J30*((1+$U$4)^2)/12*Worksheet!$E$5,0))))))))</f>
        <v>0</v>
      </c>
      <c r="S30" s="193">
        <f ca="1">IF(Worksheet!$C$4=Worksheet!$D$4,(IF(AND($U$4="Multi",$T$4="FY"),ROUND(((1+$O30)^(Worksheet!$B$20+2)*Worksheet!$F$9+(1+$O30)^(Worksheet!$B$20+3)*Worksheet!$F$10)/12*Request!$G30*Request!$K30,0),(IF(AND($U$4="Multi",$T$4="PY"),ROUND($G30*$K30*((1+$O30)^3)/12*Worksheet!$F$5,0),(IF(AND($U$4&lt;&gt;"Multi",$T$4="FY"),ROUND(((1+$U$4)^(Worksheet!$B$20+2)*Worksheet!$F$9+(1+$U$4)^(Worksheet!$B$20+3)*Worksheet!$F$10)/12*Request!$G30*Request!$K30,0),ROUND($G30*$K30*((1+$U$4)^3)/12*Worksheet!$F$5,0))))))),(IF(AND($U$4="Multi",$T$4="FY"),ROUND(((1+$O30)^(Worksheet!$B$20+3)*Worksheet!$F$9+(1+$O30)^(Worksheet!$B$20+4)*Worksheet!$F$10)/12*Request!$G30*Request!$K30,0),(IF(AND($U$4="Multi",$T$4="PY"),ROUND($G30*$K30*((1+$O30)^3)/12*Worksheet!$F$5,0),(IF(AND($U$4&lt;&gt;"Multi",$T$4="FY"),ROUND(((1+$U$4)^(Worksheet!$B$20+3)*Worksheet!$F$9+(1+$U$4)^(Worksheet!$B$20+4)*Worksheet!$F$10)/12*Request!$G30*Request!$K30,0),ROUND($G30*$K30*((1+$U$4)^3)/12*Worksheet!$F$5,0))))))))</f>
        <v>0</v>
      </c>
      <c r="T30" s="193">
        <f ca="1">IF(Worksheet!$C$4=Worksheet!$D$4,(IF(AND($U$4="Multi",$T$4="FY"),ROUND(((1+$O30)^(Worksheet!$B$20+3)*Worksheet!$G$9+(1+$O30)^(Worksheet!$B$20+4)*Worksheet!$G$10)/12*Request!$G30*Request!$L30,0),(IF(AND($U$4="Multi",$T$4="PY"),ROUND($G30*$L30*((1+$O30)^4)/12*Worksheet!$G$5,0),(IF(AND($U$4&lt;&gt;"Multi",$T$4="FY"),ROUND(((1+$U$4)^(Worksheet!$B$20+3)*Worksheet!$G$9+(1+$U$4)^(Worksheet!$B$20+4)*Worksheet!$G$10)/12*Request!$G30*Request!$L30,0),ROUND($G30*$L30*((1+$U$4)^4)/12*Worksheet!$G$5,0))))))),(IF(AND($U$4="Multi",$T$4="FY"),ROUND(((1+$O30)^(Worksheet!$B$20+4)*Worksheet!$G$9+(1+$O30)^(Worksheet!$B$20+5)*Worksheet!$G$10)/12*Request!$G30*Request!$L30,0),(IF(AND($U$4="Multi",$T$4="PY"),ROUND($G30*$L30*((1+$O30)^4)/12*Worksheet!$G$5,0),(IF(AND($U$4&lt;&gt;"Multi",$T$4="FY"),ROUND(((1+$U$4)^(Worksheet!$B$20+4)*Worksheet!$G$9+(1+$U$4)^(Worksheet!$B$20+5)*Worksheet!$G$10)/12*Request!$G30*Request!$L30,0),ROUND($G30*$L30*((1+$U$4)^4)/12*Worksheet!$G$5,0))))))))</f>
        <v>0</v>
      </c>
      <c r="U30" s="157">
        <f t="shared" ca="1" si="1"/>
        <v>0</v>
      </c>
      <c r="V30" s="203"/>
      <c r="W30" s="203"/>
      <c r="X30" s="203"/>
      <c r="Y30" s="203"/>
      <c r="Z30" s="203"/>
      <c r="AA30" s="204"/>
      <c r="AB30" s="204"/>
      <c r="AC30" s="204"/>
      <c r="AD30" s="204"/>
      <c r="AE30" s="204"/>
      <c r="AF30" s="195"/>
      <c r="AG30" s="195"/>
      <c r="AH30" s="195"/>
      <c r="AI30" s="195"/>
      <c r="AJ30" s="195"/>
      <c r="AK30" s="195"/>
      <c r="AL30" s="195"/>
      <c r="AM30" s="195"/>
      <c r="AN30" s="195"/>
      <c r="AO30" s="195"/>
      <c r="AP30" s="195"/>
      <c r="AQ30" s="195"/>
      <c r="AR30" s="195"/>
      <c r="AS30" s="195"/>
      <c r="AT30" s="195"/>
      <c r="AU30" s="195"/>
      <c r="AV30" s="195"/>
      <c r="AW30" s="195"/>
      <c r="AX30" s="195"/>
      <c r="AY30" s="195"/>
      <c r="AZ30" s="195"/>
      <c r="BA30" s="195"/>
    </row>
    <row r="31" spans="1:53" hidden="1" x14ac:dyDescent="0.2">
      <c r="A31" s="161">
        <v>24</v>
      </c>
      <c r="B31" s="162"/>
      <c r="C31" s="162"/>
      <c r="D31" s="163"/>
      <c r="E31" s="257">
        <v>100000</v>
      </c>
      <c r="F31" s="257"/>
      <c r="G31" s="266">
        <f t="shared" si="0"/>
        <v>100000</v>
      </c>
      <c r="H31" s="303"/>
      <c r="I31" s="303"/>
      <c r="J31" s="303"/>
      <c r="K31" s="303"/>
      <c r="L31" s="303"/>
      <c r="M31" s="349" t="s">
        <v>237</v>
      </c>
      <c r="N31" s="350"/>
      <c r="O31" s="160">
        <v>0.03</v>
      </c>
      <c r="P31" s="193">
        <f ca="1">IF(AND($U$4="Multi",$T$4="FY"),ROUND(((1+$O31)^Worksheet!$B$20*Worksheet!$C$9+(1+$O31)^(Worksheet!$B$20+1)*Worksheet!$C$10)/12*Request!$G31*Request!$H31,0),(IF(AND($U$4="Multi",$T$4="PY"),ROUND(G31*H31/12*Worksheet!$C$5,0),(IF(AND($U$4&lt;&gt;"Multi",$T$4="FY"),ROUND(((1+$U$4)^Worksheet!$B$20*Worksheet!$C$9+(1+$U$4)^(Worksheet!$B$20+1)*Worksheet!$C$10)/12*Request!$G31*Request!$H31,0),ROUND($G31*$H31/12*Worksheet!$C$5,0))))))</f>
        <v>0</v>
      </c>
      <c r="Q31" s="193">
        <f ca="1">IF(Worksheet!$C$4=Worksheet!$D$4,(IF(AND($U$4="Multi",$T$4="FY"),ROUND(((1+$O31)^(Worksheet!$B$20)*Worksheet!$D$9+(1+$O31)^(Worksheet!$B$20+1)*Worksheet!$D$10)/12*Request!$G31*Request!$I31,0),(IF(AND($U$4="Multi",$T$4="PY"),ROUND($G31*$I31*(1+O31)/12*Worksheet!$D$5,0),(IF(AND($U$4&lt;&gt;"Multi",$T$4="FY"),ROUND(((1+$U$4)^(Worksheet!$B$20)*Worksheet!$D$9+(1+$U$4)^(Worksheet!$B$20+1)*Worksheet!$D$10)/12*Request!$G31*Request!$I31,0),ROUND($G31*$I31*(1+$U$4)/12*Worksheet!$D$5,0))))))),(IF(AND($U$4="Multi",$T$4="FY"),ROUND(((1+$O31)^(Worksheet!$B$20+1)*Worksheet!$D$9+(1+$O31)^(Worksheet!$B$20+2)*Worksheet!$D$10)/12*Request!$G31*Request!$I31,0),(IF(AND($U$4="Multi",$T$4="PY"),ROUND($G31*$I31*(1+O31)/12*Worksheet!$D$5,0),(IF(AND($U$4&lt;&gt;"Multi",$T$4="FY"),ROUND(((1+$U$4)^(Worksheet!$B$20+1)*Worksheet!$D$9+(1+$U$4)^(Worksheet!$B$20+2)*Worksheet!$D$10)/12*Request!$G31*Request!$I31,0),ROUND($G31*$I31*(1+$U$4)/12*Worksheet!$D$5,0))))))))</f>
        <v>0</v>
      </c>
      <c r="R31" s="193">
        <f ca="1">IF(Worksheet!$C$4=Worksheet!$D$4,(IF(AND($U$4="Multi",$T$4="FY"),ROUND(((1+$O31)^(Worksheet!$B$20+1)*Worksheet!$E$9+(1+$O31)^(Worksheet!$B$20+2)*Worksheet!$E$10)/12*Request!$G31*Request!J31,0),(IF(AND($U$4="Multi",$T$4="PY"),ROUND($G31*J31*((1+$O31)^2)/12*Worksheet!$E$5,0),(IF(AND($U$4&lt;&gt;"Multi",$T$4="FY"),ROUND(((1+$U$4)^(Worksheet!$B$20+1)*Worksheet!$E$9+(1+$U$4)^(Worksheet!$B$20+2)*Worksheet!$E$10)/12*Request!$G31*Request!J31,0),ROUND($G31*J31*((1+$U$4)^2)/12*Worksheet!$E$5,0))))))),(IF(AND($U$4="Multi",$T$4="FY"),ROUND(((1+$O31)^(Worksheet!$B$20+2)*Worksheet!$E$9+(1+$O31)^(Worksheet!$B$20+3)*Worksheet!$E$10)/12*Request!$G31*Request!J31,0),(IF(AND($U$4="Multi",$T$4="PY"),ROUND($G31*J31*((1+$O31)^2)/12*Worksheet!$E$5,0),(IF(AND($U$4&lt;&gt;"Multi",$T$4="FY"),ROUND(((1+$U$4)^(Worksheet!$B$20+2)*Worksheet!$E$9+(1+$U$4)^(Worksheet!$B$20+3)*Worksheet!$E$10)/12*Request!$G31*Request!J31,0),ROUND($G31*J31*((1+$U$4)^2)/12*Worksheet!$E$5,0))))))))</f>
        <v>0</v>
      </c>
      <c r="S31" s="193">
        <f ca="1">IF(Worksheet!$C$4=Worksheet!$D$4,(IF(AND($U$4="Multi",$T$4="FY"),ROUND(((1+$O31)^(Worksheet!$B$20+2)*Worksheet!$F$9+(1+$O31)^(Worksheet!$B$20+3)*Worksheet!$F$10)/12*Request!$G31*Request!$K31,0),(IF(AND($U$4="Multi",$T$4="PY"),ROUND($G31*$K31*((1+$O31)^3)/12*Worksheet!$F$5,0),(IF(AND($U$4&lt;&gt;"Multi",$T$4="FY"),ROUND(((1+$U$4)^(Worksheet!$B$20+2)*Worksheet!$F$9+(1+$U$4)^(Worksheet!$B$20+3)*Worksheet!$F$10)/12*Request!$G31*Request!$K31,0),ROUND($G31*$K31*((1+$U$4)^3)/12*Worksheet!$F$5,0))))))),(IF(AND($U$4="Multi",$T$4="FY"),ROUND(((1+$O31)^(Worksheet!$B$20+3)*Worksheet!$F$9+(1+$O31)^(Worksheet!$B$20+4)*Worksheet!$F$10)/12*Request!$G31*Request!$K31,0),(IF(AND($U$4="Multi",$T$4="PY"),ROUND($G31*$K31*((1+$O31)^3)/12*Worksheet!$F$5,0),(IF(AND($U$4&lt;&gt;"Multi",$T$4="FY"),ROUND(((1+$U$4)^(Worksheet!$B$20+3)*Worksheet!$F$9+(1+$U$4)^(Worksheet!$B$20+4)*Worksheet!$F$10)/12*Request!$G31*Request!$K31,0),ROUND($G31*$K31*((1+$U$4)^3)/12*Worksheet!$F$5,0))))))))</f>
        <v>0</v>
      </c>
      <c r="T31" s="193">
        <f ca="1">IF(Worksheet!$C$4=Worksheet!$D$4,(IF(AND($U$4="Multi",$T$4="FY"),ROUND(((1+$O31)^(Worksheet!$B$20+3)*Worksheet!$G$9+(1+$O31)^(Worksheet!$B$20+4)*Worksheet!$G$10)/12*Request!$G31*Request!$L31,0),(IF(AND($U$4="Multi",$T$4="PY"),ROUND($G31*$L31*((1+$O31)^4)/12*Worksheet!$G$5,0),(IF(AND($U$4&lt;&gt;"Multi",$T$4="FY"),ROUND(((1+$U$4)^(Worksheet!$B$20+3)*Worksheet!$G$9+(1+$U$4)^(Worksheet!$B$20+4)*Worksheet!$G$10)/12*Request!$G31*Request!$L31,0),ROUND($G31*$L31*((1+$U$4)^4)/12*Worksheet!$G$5,0))))))),(IF(AND($U$4="Multi",$T$4="FY"),ROUND(((1+$O31)^(Worksheet!$B$20+4)*Worksheet!$G$9+(1+$O31)^(Worksheet!$B$20+5)*Worksheet!$G$10)/12*Request!$G31*Request!$L31,0),(IF(AND($U$4="Multi",$T$4="PY"),ROUND($G31*$L31*((1+$O31)^4)/12*Worksheet!$G$5,0),(IF(AND($U$4&lt;&gt;"Multi",$T$4="FY"),ROUND(((1+$U$4)^(Worksheet!$B$20+4)*Worksheet!$G$9+(1+$U$4)^(Worksheet!$B$20+5)*Worksheet!$G$10)/12*Request!$G31*Request!$L31,0),ROUND($G31*$L31*((1+$U$4)^4)/12*Worksheet!$G$5,0))))))))</f>
        <v>0</v>
      </c>
      <c r="U31" s="157">
        <f t="shared" ca="1" si="1"/>
        <v>0</v>
      </c>
      <c r="V31" s="203"/>
      <c r="W31" s="203"/>
      <c r="X31" s="203"/>
      <c r="Y31" s="203"/>
      <c r="Z31" s="203"/>
      <c r="AA31" s="204"/>
      <c r="AB31" s="204"/>
      <c r="AC31" s="204"/>
      <c r="AD31" s="204"/>
      <c r="AE31" s="204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95"/>
      <c r="AV31" s="195"/>
      <c r="AW31" s="195"/>
      <c r="AX31" s="195"/>
      <c r="AY31" s="195"/>
      <c r="AZ31" s="195"/>
      <c r="BA31" s="195"/>
    </row>
    <row r="32" spans="1:53" x14ac:dyDescent="0.2">
      <c r="A32" s="351" t="s">
        <v>4</v>
      </c>
      <c r="B32" s="352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3"/>
      <c r="P32" s="158">
        <f t="shared" ref="P32:U32" ca="1" si="2">SUM(P8:P31)</f>
        <v>31413</v>
      </c>
      <c r="Q32" s="158">
        <f t="shared" ca="1" si="2"/>
        <v>32355</v>
      </c>
      <c r="R32" s="158">
        <f t="shared" ca="1" si="2"/>
        <v>33326</v>
      </c>
      <c r="S32" s="158">
        <f t="shared" ca="1" si="2"/>
        <v>0</v>
      </c>
      <c r="T32" s="158">
        <f t="shared" ca="1" si="2"/>
        <v>0</v>
      </c>
      <c r="U32" s="158">
        <f t="shared" ca="1" si="2"/>
        <v>97094</v>
      </c>
      <c r="V32" s="206"/>
      <c r="W32" s="206"/>
      <c r="X32" s="206"/>
      <c r="Y32" s="206"/>
      <c r="Z32" s="206"/>
      <c r="AA32" s="195"/>
      <c r="AB32" s="195"/>
      <c r="AC32" s="195"/>
      <c r="AD32" s="195"/>
      <c r="AE32" s="195"/>
      <c r="AF32" s="195"/>
      <c r="AG32" s="195"/>
      <c r="AH32" s="195"/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</row>
    <row r="33" spans="1:53" ht="9" customHeight="1" x14ac:dyDescent="0.2">
      <c r="A33" s="45"/>
      <c r="B33" s="45"/>
      <c r="C33" s="45"/>
      <c r="D33" s="261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7"/>
      <c r="Q33" s="47"/>
      <c r="R33" s="47"/>
      <c r="S33" s="47"/>
      <c r="T33" s="47"/>
      <c r="U33" s="47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5"/>
      <c r="AW33" s="195"/>
      <c r="AX33" s="195"/>
      <c r="AY33" s="195"/>
      <c r="AZ33" s="195"/>
      <c r="BA33" s="195"/>
    </row>
    <row r="34" spans="1:53" x14ac:dyDescent="0.2">
      <c r="A34" s="52"/>
      <c r="B34" s="52"/>
      <c r="C34" s="52"/>
      <c r="D34" s="262"/>
      <c r="E34" s="389" t="s">
        <v>153</v>
      </c>
      <c r="F34" s="390"/>
      <c r="G34" s="81" t="str">
        <f>Worksheet!C9&amp;"/"&amp;Worksheet!C10</f>
        <v>9/3</v>
      </c>
      <c r="H34" s="358" t="str">
        <f>Worksheet!D9&amp;"/"&amp;Worksheet!D10</f>
        <v>9/3</v>
      </c>
      <c r="I34" s="358"/>
      <c r="J34" s="358" t="str">
        <f>Worksheet!E9&amp;"/"&amp;Worksheet!E10</f>
        <v>9/3</v>
      </c>
      <c r="K34" s="358"/>
      <c r="L34" s="358" t="str">
        <f>Worksheet!F9&amp;"/"&amp;Worksheet!F10</f>
        <v>9/3</v>
      </c>
      <c r="M34" s="358"/>
      <c r="N34" s="358" t="str">
        <f>Worksheet!G9&amp;"/"&amp;Worksheet!G10</f>
        <v>9/3</v>
      </c>
      <c r="O34" s="358"/>
      <c r="P34" s="335" t="s">
        <v>270</v>
      </c>
      <c r="Q34" s="336"/>
      <c r="R34" s="285" t="s">
        <v>167</v>
      </c>
      <c r="S34" s="335" t="s">
        <v>131</v>
      </c>
      <c r="T34" s="336"/>
      <c r="U34" s="188" t="s">
        <v>129</v>
      </c>
      <c r="V34" s="195"/>
      <c r="W34" s="195"/>
      <c r="X34" s="195"/>
      <c r="Y34" s="195"/>
      <c r="Z34" s="195"/>
      <c r="AA34" s="195"/>
      <c r="AB34" s="195"/>
      <c r="AC34" s="195"/>
      <c r="AD34" s="195"/>
      <c r="AE34" s="195"/>
      <c r="AF34" s="195"/>
      <c r="AG34" s="195"/>
      <c r="AH34" s="195"/>
      <c r="AI34" s="195"/>
      <c r="AJ34" s="195"/>
      <c r="AK34" s="195"/>
      <c r="AL34" s="195"/>
      <c r="AM34" s="195"/>
      <c r="AN34" s="195"/>
      <c r="AO34" s="195"/>
      <c r="AP34" s="195"/>
      <c r="AQ34" s="195"/>
      <c r="AR34" s="195"/>
      <c r="AS34" s="195"/>
      <c r="AT34" s="195"/>
      <c r="AU34" s="195"/>
      <c r="AV34" s="195"/>
      <c r="AW34" s="195"/>
      <c r="AX34" s="195"/>
      <c r="AY34" s="195"/>
      <c r="AZ34" s="195"/>
      <c r="BA34" s="195"/>
    </row>
    <row r="35" spans="1:53" x14ac:dyDescent="0.2">
      <c r="A35" s="361" t="s">
        <v>14</v>
      </c>
      <c r="B35" s="362"/>
      <c r="C35" s="362"/>
      <c r="D35" s="363"/>
      <c r="E35" s="359" t="s">
        <v>246</v>
      </c>
      <c r="F35" s="360"/>
      <c r="G35" s="80" t="s">
        <v>15</v>
      </c>
      <c r="H35" s="359" t="s">
        <v>15</v>
      </c>
      <c r="I35" s="360"/>
      <c r="J35" s="359" t="s">
        <v>15</v>
      </c>
      <c r="K35" s="360"/>
      <c r="L35" s="359" t="s">
        <v>15</v>
      </c>
      <c r="M35" s="360"/>
      <c r="N35" s="359" t="s">
        <v>15</v>
      </c>
      <c r="O35" s="360"/>
      <c r="P35" s="44" t="str">
        <f>P5</f>
        <v>Period 1</v>
      </c>
      <c r="Q35" s="44" t="str">
        <f>Q5</f>
        <v>Period 2</v>
      </c>
      <c r="R35" s="44" t="str">
        <f>R5</f>
        <v>Period 3</v>
      </c>
      <c r="S35" s="44" t="str">
        <f>S5</f>
        <v>Period 4</v>
      </c>
      <c r="T35" s="44" t="str">
        <f>T5</f>
        <v>Period 5</v>
      </c>
      <c r="U35" s="44" t="s">
        <v>11</v>
      </c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95"/>
      <c r="AV35" s="195"/>
      <c r="AW35" s="195"/>
      <c r="AX35" s="195"/>
      <c r="AY35" s="195"/>
      <c r="AZ35" s="195"/>
      <c r="BA35" s="195"/>
    </row>
    <row r="36" spans="1:53" x14ac:dyDescent="0.2">
      <c r="A36" s="78">
        <v>1</v>
      </c>
      <c r="B36" s="354" t="str">
        <f t="shared" ref="B36:B59" si="3">B8</f>
        <v>Jeffries - PI (AY)</v>
      </c>
      <c r="C36" s="354"/>
      <c r="D36" s="355"/>
      <c r="E36" s="339" t="s">
        <v>262</v>
      </c>
      <c r="F36" s="340"/>
      <c r="G36" s="293" t="str">
        <f>IF(E36="Choose","",INDEX(Worksheet!$B$76:$B$94,MATCH(Worksheet!$M238,Worksheet!$A$76:$A$94,0)))</f>
        <v>38.4/39.6</v>
      </c>
      <c r="H36" s="341" t="str">
        <f>IF(E36="Choose","",INDEX(Worksheet!$C$76:$C$94,MATCH(Worksheet!$M238,Worksheet!$A$76:$A$94,0)))</f>
        <v>39.6/40.8</v>
      </c>
      <c r="I36" s="342"/>
      <c r="J36" s="343" t="str">
        <f>IF(E36="Choose","",INDEX(Worksheet!$D$76:$D$94,MATCH(Worksheet!$M238,Worksheet!$A$76:$A$94,0)))</f>
        <v>40.8/42</v>
      </c>
      <c r="K36" s="344"/>
      <c r="L36" s="343" t="str">
        <f>IF(E36="Choose","",INDEX(Worksheet!$E$76:$E$94,MATCH(Worksheet!$M238,Worksheet!$A$76:$A$94,0)))</f>
        <v>42/43.3</v>
      </c>
      <c r="M36" s="344"/>
      <c r="N36" s="343" t="str">
        <f>IF(E36="Choose","",INDEX(Worksheet!$F$76:$F$94,MATCH(Worksheet!$M238,Worksheet!$A$76:$A$94,0)))</f>
        <v>43.3/44.6</v>
      </c>
      <c r="O36" s="344"/>
      <c r="P36" s="214">
        <f ca="1">IF(P8=0,0,IF(E36=Worksheet!A$86,Worksheet!B362,IF(E36=Worksheet!A$87,Worksheet!B362,IF(E36=Worksheet!A$88,Worksheet!B362,ROUND(P8/Worksheet!C$5*Worksheet!C$9*Worksheet!N238+P8/Worksheet!C$5*Worksheet!C$10*Worksheet!O238,0)))))</f>
        <v>10420</v>
      </c>
      <c r="Q36" s="214">
        <f ca="1">IF(Q8=0,0,IF(E36=Worksheet!A$86,Worksheet!D362,IF(E36=Worksheet!A$87,Worksheet!D362,IF(E36=Worksheet!A$88,Worksheet!D362,ROUND(Q8/Worksheet!D$5*Worksheet!D$9*Worksheet!P238+Q8/Worksheet!D$5*Worksheet!D$10*Worksheet!Q238,0)))))</f>
        <v>11065</v>
      </c>
      <c r="R36" s="214">
        <f ca="1">IF(R8=0,0,IF(E36=Worksheet!A$86,Worksheet!F362,IF(E36=Worksheet!A$87,Worksheet!F362,IF(E36=Worksheet!A$88,Worksheet!F362,ROUND(R8/Worksheet!E$5*Worksheet!E$9*Worksheet!R238+R8/Worksheet!E$5*Worksheet!E$10*Worksheet!S238,0)))))</f>
        <v>11740</v>
      </c>
      <c r="S36" s="214">
        <f ca="1">IF(S8=0,0,IF(E36=Worksheet!A$86,Worksheet!H362,IF(E36=Worksheet!A$87,Worksheet!H362,IF(E36=Worksheet!A$88,Worksheet!H362,ROUND(S8/Worksheet!F$5*Worksheet!F$9*Worksheet!T238+S8/Worksheet!F$5*Worksheet!F$10*Worksheet!U238,0)))))</f>
        <v>0</v>
      </c>
      <c r="T36" s="214">
        <f ca="1">IF(T8=0,0,IF(E36=Worksheet!A$86,Worksheet!J362,IF(E36=Worksheet!A$87,Worksheet!J362,IF(E36=Worksheet!A$88,Worksheet!J362,ROUND(T8/Worksheet!G$5*Worksheet!G$9*Worksheet!V238+T8/Worksheet!G$5*Worksheet!G$10*Worksheet!W238,0)))))</f>
        <v>0</v>
      </c>
      <c r="U36" s="156">
        <f ca="1">SUM(P36:T36)</f>
        <v>33225</v>
      </c>
      <c r="V36" s="220"/>
      <c r="W36" s="220"/>
      <c r="X36" s="220"/>
      <c r="Y36" s="220"/>
      <c r="Z36" s="220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95"/>
      <c r="AV36" s="195"/>
      <c r="AW36" s="195"/>
      <c r="AX36" s="195"/>
      <c r="AY36" s="195"/>
      <c r="AZ36" s="195"/>
      <c r="BA36" s="195"/>
    </row>
    <row r="37" spans="1:53" x14ac:dyDescent="0.2">
      <c r="A37" s="78">
        <v>2</v>
      </c>
      <c r="B37" s="356" t="str">
        <f t="shared" si="3"/>
        <v>Jeffries - PI (Summer)</v>
      </c>
      <c r="C37" s="356"/>
      <c r="D37" s="357"/>
      <c r="E37" s="339" t="s">
        <v>253</v>
      </c>
      <c r="F37" s="340"/>
      <c r="G37" s="300" t="str">
        <f>IF(E37="Choose","",INDEX(Worksheet!$B$76:$B$94,MATCH(Worksheet!$M239,Worksheet!$A$76:$A$94,0)))</f>
        <v>10.3/10.6</v>
      </c>
      <c r="H37" s="341" t="str">
        <f>IF(E37="Choose","",INDEX(Worksheet!$C$76:$C$94,MATCH(Worksheet!$M239,Worksheet!$A$76:$A$94,0)))</f>
        <v>10.6/10.9</v>
      </c>
      <c r="I37" s="342"/>
      <c r="J37" s="343" t="str">
        <f>IF(E37="Choose","",INDEX(Worksheet!$D$76:$D$94,MATCH(Worksheet!$M239,Worksheet!$A$76:$A$94,0)))</f>
        <v>10.9/11.2</v>
      </c>
      <c r="K37" s="344"/>
      <c r="L37" s="343" t="str">
        <f>IF(E37="Choose","",INDEX(Worksheet!$E$76:$E$94,MATCH(Worksheet!$M239,Worksheet!$A$76:$A$94,0)))</f>
        <v>11.2/11.5</v>
      </c>
      <c r="M37" s="344"/>
      <c r="N37" s="343" t="str">
        <f>IF(E37="Choose","",INDEX(Worksheet!$F$76:$F$94,MATCH(Worksheet!$M239,Worksheet!$A$76:$A$94,0)))</f>
        <v>11.5/11.8</v>
      </c>
      <c r="O37" s="344"/>
      <c r="P37" s="214">
        <f ca="1">IF(P9=0,0,IF(E37=Worksheet!A$86,Worksheet!B363,IF(E37=Worksheet!A$87,Worksheet!B363,IF(E37=Worksheet!A$88,Worksheet!B363,ROUND(P9/Worksheet!C$5*Worksheet!C$9*Worksheet!N239+P9/Worksheet!C$5*Worksheet!C$10*Worksheet!O239,0)))))</f>
        <v>462</v>
      </c>
      <c r="Q37" s="214">
        <f ca="1">IF(Q9=0,0,IF(E37=Worksheet!A$86,Worksheet!D363,IF(E37=Worksheet!A$87,Worksheet!D363,IF(E37=Worksheet!A$88,Worksheet!D363,ROUND(Q9/Worksheet!D$5*Worksheet!D$9*Worksheet!P239+Q9/Worksheet!D$5*Worksheet!D$10*Worksheet!Q239,0)))))</f>
        <v>490</v>
      </c>
      <c r="R37" s="214">
        <f ca="1">IF(R9=0,0,IF(E37=Worksheet!A$86,Worksheet!F363,IF(E37=Worksheet!A$87,Worksheet!F363,IF(E37=Worksheet!A$88,Worksheet!F363,ROUND(R9/Worksheet!E$5*Worksheet!E$9*Worksheet!R239+R9/Worksheet!E$5*Worksheet!E$10*Worksheet!S239,0)))))</f>
        <v>519</v>
      </c>
      <c r="S37" s="214">
        <f ca="1">IF(S9=0,0,IF(E37=Worksheet!A$86,Worksheet!H363,IF(E37=Worksheet!A$87,Worksheet!H363,IF(E37=Worksheet!A$88,Worksheet!H363,ROUND(S9/Worksheet!F$5*Worksheet!F$9*Worksheet!T239+S9/Worksheet!F$5*Worksheet!F$10*Worksheet!U239,0)))))</f>
        <v>0</v>
      </c>
      <c r="T37" s="214">
        <f ca="1">IF(T9=0,0,IF(E37=Worksheet!A$86,Worksheet!J363,IF(E37=Worksheet!A$87,Worksheet!J363,IF(E37=Worksheet!A$88,Worksheet!J363,ROUND(T9/Worksheet!G$5*Worksheet!G$9*Worksheet!V239+T9/Worksheet!G$5*Worksheet!G$10*Worksheet!W239,0)))))</f>
        <v>0</v>
      </c>
      <c r="U37" s="156">
        <f t="shared" ref="U37:U59" ca="1" si="4">SUM(P37:T37)</f>
        <v>1471</v>
      </c>
      <c r="V37" s="220"/>
      <c r="W37" s="220"/>
      <c r="X37" s="220"/>
      <c r="Y37" s="220"/>
      <c r="Z37" s="220"/>
      <c r="AA37" s="195"/>
      <c r="AB37" s="195"/>
      <c r="AC37" s="195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</row>
    <row r="38" spans="1:53" x14ac:dyDescent="0.2">
      <c r="A38" s="78">
        <v>3</v>
      </c>
      <c r="B38" s="356">
        <f t="shared" si="3"/>
        <v>0</v>
      </c>
      <c r="C38" s="356"/>
      <c r="D38" s="357"/>
      <c r="E38" s="339" t="s">
        <v>41</v>
      </c>
      <c r="F38" s="340"/>
      <c r="G38" s="300" t="str">
        <f>IF(E38="Choose","",INDEX(Worksheet!$B$76:$B$94,MATCH(Worksheet!$M240,Worksheet!$A$76:$A$94,0)))</f>
        <v/>
      </c>
      <c r="H38" s="341" t="str">
        <f>IF(E38="Choose","",INDEX(Worksheet!$C$76:$C$94,MATCH(Worksheet!$M240,Worksheet!$A$76:$A$94,0)))</f>
        <v/>
      </c>
      <c r="I38" s="342"/>
      <c r="J38" s="343" t="str">
        <f>IF(E38="Choose","",INDEX(Worksheet!$D$76:$D$94,MATCH(Worksheet!$M240,Worksheet!$A$76:$A$94,0)))</f>
        <v/>
      </c>
      <c r="K38" s="344"/>
      <c r="L38" s="343" t="str">
        <f>IF(E38="Choose","",INDEX(Worksheet!$E$76:$E$94,MATCH(Worksheet!$M240,Worksheet!$A$76:$A$94,0)))</f>
        <v/>
      </c>
      <c r="M38" s="344"/>
      <c r="N38" s="343" t="str">
        <f>IF(E38="Choose","",INDEX(Worksheet!$F$76:$F$94,MATCH(Worksheet!$M240,Worksheet!$A$76:$A$94,0)))</f>
        <v/>
      </c>
      <c r="O38" s="344"/>
      <c r="P38" s="214">
        <f ca="1">IF(P10=0,0,IF(E38=Worksheet!A$86,Worksheet!B364,IF(E38=Worksheet!A$87,Worksheet!B364,IF(E38=Worksheet!A$88,Worksheet!B364,ROUND(P10/Worksheet!C$5*Worksheet!C$9*Worksheet!N240+P10/Worksheet!C$5*Worksheet!C$10*Worksheet!O240,0)))))</f>
        <v>0</v>
      </c>
      <c r="Q38" s="214">
        <f ca="1">IF(Q10=0,0,IF(E38=Worksheet!A$86,Worksheet!D364,IF(E38=Worksheet!A$87,Worksheet!D364,IF(E38=Worksheet!A$88,Worksheet!D364,ROUND(Q10/Worksheet!D$5*Worksheet!D$9*Worksheet!P240+Q10/Worksheet!D$5*Worksheet!D$10*Worksheet!Q240,0)))))</f>
        <v>0</v>
      </c>
      <c r="R38" s="214">
        <f ca="1">IF(R10=0,0,IF(E38=Worksheet!A$86,Worksheet!F364,IF(E38=Worksheet!A$87,Worksheet!F364,IF(E38=Worksheet!A$88,Worksheet!F364,ROUND(R10/Worksheet!E$5*Worksheet!E$9*Worksheet!R240+R10/Worksheet!E$5*Worksheet!E$10*Worksheet!S240,0)))))</f>
        <v>0</v>
      </c>
      <c r="S38" s="214">
        <f ca="1">IF(S10=0,0,IF(E38=Worksheet!A$86,Worksheet!H364,IF(E38=Worksheet!A$87,Worksheet!H364,IF(E38=Worksheet!A$88,Worksheet!H364,ROUND(S10/Worksheet!F$5*Worksheet!F$9*Worksheet!T240+S10/Worksheet!F$5*Worksheet!F$10*Worksheet!U240,0)))))</f>
        <v>0</v>
      </c>
      <c r="T38" s="214">
        <f ca="1">IF(T10=0,0,IF(E38=Worksheet!A$86,Worksheet!J364,IF(E38=Worksheet!A$87,Worksheet!J364,IF(E38=Worksheet!A$88,Worksheet!J364,ROUND(T10/Worksheet!G$5*Worksheet!G$9*Worksheet!V240+T10/Worksheet!G$5*Worksheet!G$10*Worksheet!W240,0)))))</f>
        <v>0</v>
      </c>
      <c r="U38" s="156">
        <f t="shared" ca="1" si="4"/>
        <v>0</v>
      </c>
      <c r="V38" s="220"/>
      <c r="W38" s="220"/>
      <c r="X38" s="220"/>
      <c r="Y38" s="220"/>
      <c r="Z38" s="220"/>
      <c r="AA38" s="195"/>
      <c r="AB38" s="195"/>
      <c r="AC38" s="195"/>
      <c r="AD38" s="195"/>
      <c r="AE38" s="195"/>
      <c r="AF38" s="195"/>
      <c r="AG38" s="195"/>
      <c r="AH38" s="195"/>
      <c r="AI38" s="195"/>
      <c r="AJ38" s="195"/>
      <c r="AK38" s="195"/>
      <c r="AL38" s="195"/>
      <c r="AM38" s="195"/>
      <c r="AN38" s="195"/>
      <c r="AO38" s="195"/>
      <c r="AP38" s="195"/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</row>
    <row r="39" spans="1:53" x14ac:dyDescent="0.2">
      <c r="A39" s="78">
        <v>4</v>
      </c>
      <c r="B39" s="356">
        <f t="shared" si="3"/>
        <v>0</v>
      </c>
      <c r="C39" s="356"/>
      <c r="D39" s="357"/>
      <c r="E39" s="339" t="s">
        <v>41</v>
      </c>
      <c r="F39" s="340"/>
      <c r="G39" s="300" t="str">
        <f>IF(E39="Choose","",INDEX(Worksheet!$B$76:$B$94,MATCH(Worksheet!$M241,Worksheet!$A$76:$A$94,0)))</f>
        <v/>
      </c>
      <c r="H39" s="341" t="str">
        <f>IF(E39="Choose","",INDEX(Worksheet!$C$76:$C$94,MATCH(Worksheet!$M241,Worksheet!$A$76:$A$94,0)))</f>
        <v/>
      </c>
      <c r="I39" s="342"/>
      <c r="J39" s="343" t="str">
        <f>IF(E39="Choose","",INDEX(Worksheet!$D$76:$D$94,MATCH(Worksheet!$M241,Worksheet!$A$76:$A$94,0)))</f>
        <v/>
      </c>
      <c r="K39" s="344"/>
      <c r="L39" s="343" t="str">
        <f>IF(E39="Choose","",INDEX(Worksheet!$E$76:$E$94,MATCH(Worksheet!$M241,Worksheet!$A$76:$A$94,0)))</f>
        <v/>
      </c>
      <c r="M39" s="344"/>
      <c r="N39" s="343" t="str">
        <f>IF(E39="Choose","",INDEX(Worksheet!$F$76:$F$94,MATCH(Worksheet!$M241,Worksheet!$A$76:$A$94,0)))</f>
        <v/>
      </c>
      <c r="O39" s="344"/>
      <c r="P39" s="214">
        <f ca="1">IF(P11=0,0,IF(E39=Worksheet!A$86,Worksheet!B365,IF(E39=Worksheet!A$87,Worksheet!B365,IF(E39=Worksheet!A$88,Worksheet!B365,ROUND(P11/Worksheet!C$5*Worksheet!C$9*Worksheet!N241+P11/Worksheet!C$5*Worksheet!C$10*Worksheet!O241,0)))))</f>
        <v>0</v>
      </c>
      <c r="Q39" s="214">
        <f ca="1">IF(Q11=0,0,IF(E39=Worksheet!A$86,Worksheet!D365,IF(E39=Worksheet!A$87,Worksheet!D365,IF(E39=Worksheet!A$88,Worksheet!D365,ROUND(Q11/Worksheet!D$5*Worksheet!D$9*Worksheet!P241+Q11/Worksheet!D$5*Worksheet!D$10*Worksheet!Q241,0)))))</f>
        <v>0</v>
      </c>
      <c r="R39" s="214">
        <f ca="1">IF(R11=0,0,IF(E39=Worksheet!A$86,Worksheet!F365,IF(E39=Worksheet!A$87,Worksheet!F365,IF(E39=Worksheet!A$88,Worksheet!F365,ROUND(R11/Worksheet!E$5*Worksheet!E$9*Worksheet!R241+R11/Worksheet!E$5*Worksheet!E$10*Worksheet!S241,0)))))</f>
        <v>0</v>
      </c>
      <c r="S39" s="214">
        <f ca="1">IF(S11=0,0,IF(E39=Worksheet!A$86,Worksheet!H365,IF(E39=Worksheet!A$87,Worksheet!H365,IF(E39=Worksheet!A$88,Worksheet!H365,ROUND(S11/Worksheet!F$5*Worksheet!F$9*Worksheet!T241+S11/Worksheet!F$5*Worksheet!F$10*Worksheet!U241,0)))))</f>
        <v>0</v>
      </c>
      <c r="T39" s="214">
        <f ca="1">IF(T11=0,0,IF(E39=Worksheet!A$86,Worksheet!J365,IF(E39=Worksheet!A$87,Worksheet!J365,IF(E39=Worksheet!A$88,Worksheet!J365,ROUND(T11/Worksheet!G$5*Worksheet!G$9*Worksheet!V241+T11/Worksheet!G$5*Worksheet!G$10*Worksheet!W241,0)))))</f>
        <v>0</v>
      </c>
      <c r="U39" s="156">
        <f t="shared" ca="1" si="4"/>
        <v>0</v>
      </c>
      <c r="V39" s="220"/>
      <c r="W39" s="220"/>
      <c r="X39" s="220"/>
      <c r="Y39" s="220"/>
      <c r="Z39" s="220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</row>
    <row r="40" spans="1:53" x14ac:dyDescent="0.2">
      <c r="A40" s="78">
        <v>5</v>
      </c>
      <c r="B40" s="356">
        <f t="shared" si="3"/>
        <v>0</v>
      </c>
      <c r="C40" s="356"/>
      <c r="D40" s="357"/>
      <c r="E40" s="339" t="s">
        <v>41</v>
      </c>
      <c r="F40" s="340"/>
      <c r="G40" s="300" t="str">
        <f>IF(E40="Choose","",INDEX(Worksheet!$B$76:$B$94,MATCH(Worksheet!$M242,Worksheet!$A$76:$A$94,0)))</f>
        <v/>
      </c>
      <c r="H40" s="341" t="str">
        <f>IF(E40="Choose","",INDEX(Worksheet!$C$76:$C$94,MATCH(Worksheet!$M242,Worksheet!$A$76:$A$94,0)))</f>
        <v/>
      </c>
      <c r="I40" s="342"/>
      <c r="J40" s="343" t="str">
        <f>IF(E40="Choose","",INDEX(Worksheet!$D$76:$D$94,MATCH(Worksheet!$M242,Worksheet!$A$76:$A$94,0)))</f>
        <v/>
      </c>
      <c r="K40" s="344"/>
      <c r="L40" s="343" t="str">
        <f>IF(E40="Choose","",INDEX(Worksheet!$E$76:$E$94,MATCH(Worksheet!$M242,Worksheet!$A$76:$A$94,0)))</f>
        <v/>
      </c>
      <c r="M40" s="344"/>
      <c r="N40" s="343" t="str">
        <f>IF(E40="Choose","",INDEX(Worksheet!$F$76:$F$94,MATCH(Worksheet!$M242,Worksheet!$A$76:$A$94,0)))</f>
        <v/>
      </c>
      <c r="O40" s="344"/>
      <c r="P40" s="214">
        <f ca="1">IF(P12=0,0,IF(E40=Worksheet!A$86,Worksheet!B366,IF(E40=Worksheet!A$87,Worksheet!B366,IF(E40=Worksheet!A$88,Worksheet!B366,ROUND(P12/Worksheet!C$5*Worksheet!C$9*Worksheet!N242+P12/Worksheet!C$5*Worksheet!C$10*Worksheet!O242,0)))))</f>
        <v>0</v>
      </c>
      <c r="Q40" s="214">
        <f ca="1">IF(Q12=0,0,IF(E40=Worksheet!A$86,Worksheet!D366,IF(E40=Worksheet!A$87,Worksheet!D366,IF(E40=Worksheet!A$88,Worksheet!D366,ROUND(Q12/Worksheet!D$5*Worksheet!D$9*Worksheet!P242+Q12/Worksheet!D$5*Worksheet!D$10*Worksheet!Q242,0)))))</f>
        <v>0</v>
      </c>
      <c r="R40" s="214">
        <f ca="1">IF(R12=0,0,IF(E40=Worksheet!A$86,Worksheet!F366,IF(E40=Worksheet!A$87,Worksheet!F366,IF(E40=Worksheet!A$88,Worksheet!F366,ROUND(R12/Worksheet!E$5*Worksheet!E$9*Worksheet!R242+R12/Worksheet!E$5*Worksheet!E$10*Worksheet!S242,0)))))</f>
        <v>0</v>
      </c>
      <c r="S40" s="214">
        <f ca="1">IF(S12=0,0,IF(E40=Worksheet!A$86,Worksheet!H366,IF(E40=Worksheet!A$87,Worksheet!H366,IF(E40=Worksheet!A$88,Worksheet!H366,ROUND(S12/Worksheet!F$5*Worksheet!F$9*Worksheet!T242+S12/Worksheet!F$5*Worksheet!F$10*Worksheet!U242,0)))))</f>
        <v>0</v>
      </c>
      <c r="T40" s="214">
        <f ca="1">IF(T12=0,0,IF(E40=Worksheet!A$86,Worksheet!J366,IF(E40=Worksheet!A$87,Worksheet!J366,IF(E40=Worksheet!A$88,Worksheet!J366,ROUND(T12/Worksheet!G$5*Worksheet!G$9*Worksheet!V242+T12/Worksheet!G$5*Worksheet!G$10*Worksheet!W242,0)))))</f>
        <v>0</v>
      </c>
      <c r="U40" s="156">
        <f t="shared" ca="1" si="4"/>
        <v>0</v>
      </c>
      <c r="V40" s="220"/>
      <c r="W40" s="220"/>
      <c r="X40" s="220"/>
      <c r="Y40" s="220"/>
      <c r="Z40" s="220"/>
      <c r="AA40" s="195"/>
      <c r="AB40" s="195"/>
      <c r="AC40" s="195"/>
      <c r="AD40" s="195"/>
      <c r="AE40" s="195"/>
      <c r="AF40" s="195"/>
      <c r="AG40" s="195"/>
      <c r="AH40" s="195"/>
      <c r="AI40" s="195"/>
      <c r="AJ40" s="195"/>
      <c r="AK40" s="195"/>
      <c r="AL40" s="195"/>
      <c r="AM40" s="195"/>
      <c r="AN40" s="195"/>
      <c r="AO40" s="195"/>
      <c r="AP40" s="195"/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</row>
    <row r="41" spans="1:53" x14ac:dyDescent="0.2">
      <c r="A41" s="78">
        <v>6</v>
      </c>
      <c r="B41" s="356">
        <f t="shared" si="3"/>
        <v>0</v>
      </c>
      <c r="C41" s="356"/>
      <c r="D41" s="357"/>
      <c r="E41" s="339" t="s">
        <v>41</v>
      </c>
      <c r="F41" s="340"/>
      <c r="G41" s="300" t="str">
        <f>IF(E41="Choose","",INDEX(Worksheet!$B$76:$B$94,MATCH(Worksheet!$M243,Worksheet!$A$76:$A$94,0)))</f>
        <v/>
      </c>
      <c r="H41" s="341" t="str">
        <f>IF(E41="Choose","",INDEX(Worksheet!$C$76:$C$94,MATCH(Worksheet!$M243,Worksheet!$A$76:$A$94,0)))</f>
        <v/>
      </c>
      <c r="I41" s="342"/>
      <c r="J41" s="343" t="str">
        <f>IF(E41="Choose","",INDEX(Worksheet!$D$76:$D$94,MATCH(Worksheet!$M243,Worksheet!$A$76:$A$94,0)))</f>
        <v/>
      </c>
      <c r="K41" s="344"/>
      <c r="L41" s="343" t="str">
        <f>IF(E41="Choose","",INDEX(Worksheet!$E$76:$E$94,MATCH(Worksheet!$M243,Worksheet!$A$76:$A$94,0)))</f>
        <v/>
      </c>
      <c r="M41" s="344"/>
      <c r="N41" s="343" t="str">
        <f>IF(E41="Choose","",INDEX(Worksheet!$F$76:$F$94,MATCH(Worksheet!$M243,Worksheet!$A$76:$A$94,0)))</f>
        <v/>
      </c>
      <c r="O41" s="344"/>
      <c r="P41" s="214">
        <f ca="1">IF(P13=0,0,IF(E41=Worksheet!A$86,Worksheet!B367,IF(E41=Worksheet!A$87,Worksheet!B367,IF(E41=Worksheet!A$88,Worksheet!B367,ROUND(P13/Worksheet!C$5*Worksheet!C$9*Worksheet!N243+P13/Worksheet!C$5*Worksheet!C$10*Worksheet!O243,0)))))</f>
        <v>0</v>
      </c>
      <c r="Q41" s="214">
        <f ca="1">IF(Q13=0,0,IF(E41=Worksheet!A$86,Worksheet!D367,IF(E41=Worksheet!A$87,Worksheet!D367,IF(E41=Worksheet!A$88,Worksheet!D367,ROUND(Q13/Worksheet!D$5*Worksheet!D$9*Worksheet!P243+Q13/Worksheet!D$5*Worksheet!D$10*Worksheet!Q243,0)))))</f>
        <v>0</v>
      </c>
      <c r="R41" s="214">
        <f ca="1">IF(R13=0,0,IF(E41=Worksheet!A$86,Worksheet!F367,IF(E41=Worksheet!A$87,Worksheet!F367,IF(E41=Worksheet!A$88,Worksheet!F367,ROUND(R13/Worksheet!E$5*Worksheet!E$9*Worksheet!R243+R13/Worksheet!E$5*Worksheet!E$10*Worksheet!S243,0)))))</f>
        <v>0</v>
      </c>
      <c r="S41" s="214">
        <f ca="1">IF(S13=0,0,IF(E41=Worksheet!A$86,Worksheet!H367,IF(E41=Worksheet!A$87,Worksheet!H367,IF(E41=Worksheet!A$88,Worksheet!H367,ROUND(S13/Worksheet!F$5*Worksheet!F$9*Worksheet!T243+S13/Worksheet!F$5*Worksheet!F$10*Worksheet!U243,0)))))</f>
        <v>0</v>
      </c>
      <c r="T41" s="214">
        <f ca="1">IF(T13=0,0,IF(E41=Worksheet!A$86,Worksheet!J367,IF(E41=Worksheet!A$87,Worksheet!J367,IF(E41=Worksheet!A$88,Worksheet!J367,ROUND(T13/Worksheet!G$5*Worksheet!G$9*Worksheet!V243+T13/Worksheet!G$5*Worksheet!G$10*Worksheet!W243,0)))))</f>
        <v>0</v>
      </c>
      <c r="U41" s="156">
        <f t="shared" ca="1" si="4"/>
        <v>0</v>
      </c>
      <c r="V41" s="220"/>
      <c r="W41" s="220"/>
      <c r="X41" s="205"/>
      <c r="Y41" s="205"/>
      <c r="Z41" s="205"/>
      <c r="AA41" s="195"/>
      <c r="AB41" s="195"/>
      <c r="AC41" s="195"/>
      <c r="AD41" s="195"/>
      <c r="AE41" s="195"/>
      <c r="AF41" s="195"/>
      <c r="AG41" s="195"/>
      <c r="AH41" s="195"/>
      <c r="AI41" s="195"/>
      <c r="AJ41" s="195"/>
      <c r="AK41" s="195"/>
      <c r="AL41" s="195"/>
      <c r="AM41" s="195"/>
      <c r="AN41" s="195"/>
      <c r="AO41" s="195"/>
      <c r="AP41" s="195"/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</row>
    <row r="42" spans="1:53" x14ac:dyDescent="0.2">
      <c r="A42" s="78">
        <v>7</v>
      </c>
      <c r="B42" s="356">
        <f t="shared" si="3"/>
        <v>0</v>
      </c>
      <c r="C42" s="356"/>
      <c r="D42" s="357"/>
      <c r="E42" s="339" t="s">
        <v>41</v>
      </c>
      <c r="F42" s="340"/>
      <c r="G42" s="300" t="str">
        <f>IF(E42="Choose","",INDEX(Worksheet!$B$76:$B$94,MATCH(Worksheet!$M244,Worksheet!$A$76:$A$94,0)))</f>
        <v/>
      </c>
      <c r="H42" s="341" t="str">
        <f>IF(E42="Choose","",INDEX(Worksheet!$C$76:$C$94,MATCH(Worksheet!$M244,Worksheet!$A$76:$A$94,0)))</f>
        <v/>
      </c>
      <c r="I42" s="342"/>
      <c r="J42" s="343" t="str">
        <f>IF(E42="Choose","",INDEX(Worksheet!$D$76:$D$94,MATCH(Worksheet!$M244,Worksheet!$A$76:$A$94,0)))</f>
        <v/>
      </c>
      <c r="K42" s="344"/>
      <c r="L42" s="343" t="str">
        <f>IF(E42="Choose","",INDEX(Worksheet!$E$76:$E$94,MATCH(Worksheet!$M244,Worksheet!$A$76:$A$94,0)))</f>
        <v/>
      </c>
      <c r="M42" s="344"/>
      <c r="N42" s="343" t="str">
        <f>IF(E42="Choose","",INDEX(Worksheet!$F$76:$F$94,MATCH(Worksheet!$M244,Worksheet!$A$76:$A$94,0)))</f>
        <v/>
      </c>
      <c r="O42" s="344"/>
      <c r="P42" s="214">
        <f ca="1">IF(P14=0,0,IF(E42=Worksheet!A$86,Worksheet!B368,IF(E42=Worksheet!A$87,Worksheet!B368,IF(E42=Worksheet!A$88,Worksheet!B368,ROUND(P14/Worksheet!C$5*Worksheet!C$9*Worksheet!N244+P14/Worksheet!C$5*Worksheet!C$10*Worksheet!O244,0)))))</f>
        <v>0</v>
      </c>
      <c r="Q42" s="214">
        <f ca="1">IF(Q14=0,0,IF(E42=Worksheet!A$86,Worksheet!D368,IF(E42=Worksheet!A$87,Worksheet!D368,IF(E42=Worksheet!A$88,Worksheet!D368,ROUND(Q14/Worksheet!D$5*Worksheet!D$9*Worksheet!P244+Q14/Worksheet!D$5*Worksheet!D$10*Worksheet!Q244,0)))))</f>
        <v>0</v>
      </c>
      <c r="R42" s="214">
        <f ca="1">IF(R14=0,0,IF(E42=Worksheet!A$86,Worksheet!F368,IF(E42=Worksheet!A$87,Worksheet!F368,IF(E42=Worksheet!A$88,Worksheet!F368,ROUND(R14/Worksheet!E$5*Worksheet!E$9*Worksheet!R244+R14/Worksheet!E$5*Worksheet!E$10*Worksheet!S244,0)))))</f>
        <v>0</v>
      </c>
      <c r="S42" s="214">
        <f ca="1">IF(S14=0,0,IF(E42=Worksheet!A$86,Worksheet!H368,IF(E42=Worksheet!A$87,Worksheet!H368,IF(E42=Worksheet!A$88,Worksheet!H368,ROUND(S14/Worksheet!F$5*Worksheet!F$9*Worksheet!T244+S14/Worksheet!F$5*Worksheet!F$10*Worksheet!U244,0)))))</f>
        <v>0</v>
      </c>
      <c r="T42" s="214">
        <f ca="1">IF(T14=0,0,IF(E42=Worksheet!A$86,Worksheet!J368,IF(E42=Worksheet!A$87,Worksheet!J368,IF(E42=Worksheet!A$88,Worksheet!J368,ROUND(T14/Worksheet!G$5*Worksheet!G$9*Worksheet!V244+T14/Worksheet!G$5*Worksheet!G$10*Worksheet!W244,0)))))</f>
        <v>0</v>
      </c>
      <c r="U42" s="156">
        <f t="shared" ca="1" si="4"/>
        <v>0</v>
      </c>
      <c r="V42" s="220"/>
      <c r="W42" s="220"/>
      <c r="X42" s="205"/>
      <c r="Y42" s="205"/>
      <c r="Z42" s="20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</row>
    <row r="43" spans="1:53" x14ac:dyDescent="0.2">
      <c r="A43" s="78">
        <v>8</v>
      </c>
      <c r="B43" s="356">
        <f t="shared" si="3"/>
        <v>0</v>
      </c>
      <c r="C43" s="356"/>
      <c r="D43" s="357"/>
      <c r="E43" s="339" t="s">
        <v>41</v>
      </c>
      <c r="F43" s="340"/>
      <c r="G43" s="300" t="str">
        <f>IF(E43="Choose","",INDEX(Worksheet!$B$76:$B$94,MATCH(Worksheet!$M245,Worksheet!$A$76:$A$94,0)))</f>
        <v/>
      </c>
      <c r="H43" s="341" t="str">
        <f>IF(E43="Choose","",INDEX(Worksheet!$C$76:$C$94,MATCH(Worksheet!$M245,Worksheet!$A$76:$A$94,0)))</f>
        <v/>
      </c>
      <c r="I43" s="342"/>
      <c r="J43" s="343" t="str">
        <f>IF(E43="Choose","",INDEX(Worksheet!$D$76:$D$94,MATCH(Worksheet!$M245,Worksheet!$A$76:$A$94,0)))</f>
        <v/>
      </c>
      <c r="K43" s="344"/>
      <c r="L43" s="343" t="str">
        <f>IF(E43="Choose","",INDEX(Worksheet!$E$76:$E$94,MATCH(Worksheet!$M245,Worksheet!$A$76:$A$94,0)))</f>
        <v/>
      </c>
      <c r="M43" s="344"/>
      <c r="N43" s="343" t="str">
        <f>IF(E43="Choose","",INDEX(Worksheet!$F$76:$F$94,MATCH(Worksheet!$M245,Worksheet!$A$76:$A$94,0)))</f>
        <v/>
      </c>
      <c r="O43" s="344"/>
      <c r="P43" s="214">
        <f ca="1">IF(P15=0,0,IF(E43=Worksheet!A$86,Worksheet!B369,IF(E43=Worksheet!A$87,Worksheet!B369,IF(E43=Worksheet!A$88,Worksheet!B369,ROUND(P15/Worksheet!C$5*Worksheet!C$9*Worksheet!N245+P15/Worksheet!C$5*Worksheet!C$10*Worksheet!O245,0)))))</f>
        <v>0</v>
      </c>
      <c r="Q43" s="214">
        <f ca="1">IF(Q15=0,0,IF(E43=Worksheet!A$86,Worksheet!D369,IF(E43=Worksheet!A$87,Worksheet!D369,IF(E43=Worksheet!A$88,Worksheet!D369,ROUND(Q15/Worksheet!D$5*Worksheet!D$9*Worksheet!P245+Q15/Worksheet!D$5*Worksheet!D$10*Worksheet!Q245,0)))))</f>
        <v>0</v>
      </c>
      <c r="R43" s="214">
        <f ca="1">IF(R15=0,0,IF(E43=Worksheet!A$86,Worksheet!F369,IF(E43=Worksheet!A$87,Worksheet!F369,IF(E43=Worksheet!A$88,Worksheet!F369,ROUND(R15/Worksheet!E$5*Worksheet!E$9*Worksheet!R245+R15/Worksheet!E$5*Worksheet!E$10*Worksheet!S245,0)))))</f>
        <v>0</v>
      </c>
      <c r="S43" s="214">
        <f ca="1">IF(S15=0,0,IF(E43=Worksheet!A$86,Worksheet!H369,IF(E43=Worksheet!A$87,Worksheet!H369,IF(E43=Worksheet!A$88,Worksheet!H369,ROUND(S15/Worksheet!F$5*Worksheet!F$9*Worksheet!T245+S15/Worksheet!F$5*Worksheet!F$10*Worksheet!U245,0)))))</f>
        <v>0</v>
      </c>
      <c r="T43" s="214">
        <f ca="1">IF(T15=0,0,IF(E43=Worksheet!A$86,Worksheet!J369,IF(E43=Worksheet!A$87,Worksheet!J369,IF(E43=Worksheet!A$88,Worksheet!J369,ROUND(T15/Worksheet!G$5*Worksheet!G$9*Worksheet!V245+T15/Worksheet!G$5*Worksheet!G$10*Worksheet!W245,0)))))</f>
        <v>0</v>
      </c>
      <c r="U43" s="156">
        <f t="shared" ca="1" si="4"/>
        <v>0</v>
      </c>
      <c r="V43" s="220"/>
      <c r="W43" s="220"/>
      <c r="X43" s="205"/>
      <c r="Y43" s="205"/>
      <c r="Z43" s="20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</row>
    <row r="44" spans="1:53" x14ac:dyDescent="0.2">
      <c r="A44" s="78">
        <v>9</v>
      </c>
      <c r="B44" s="356">
        <f t="shared" si="3"/>
        <v>0</v>
      </c>
      <c r="C44" s="356"/>
      <c r="D44" s="357"/>
      <c r="E44" s="339" t="s">
        <v>41</v>
      </c>
      <c r="F44" s="340"/>
      <c r="G44" s="300" t="str">
        <f>IF(E44="Choose","",INDEX(Worksheet!$B$76:$B$94,MATCH(Worksheet!$M246,Worksheet!$A$76:$A$94,0)))</f>
        <v/>
      </c>
      <c r="H44" s="341" t="str">
        <f>IF(E44="Choose","",INDEX(Worksheet!$C$76:$C$94,MATCH(Worksheet!$M246,Worksheet!$A$76:$A$94,0)))</f>
        <v/>
      </c>
      <c r="I44" s="342"/>
      <c r="J44" s="343" t="str">
        <f>IF(E44="Choose","",INDEX(Worksheet!$D$76:$D$94,MATCH(Worksheet!$M246,Worksheet!$A$76:$A$94,0)))</f>
        <v/>
      </c>
      <c r="K44" s="344"/>
      <c r="L44" s="343" t="str">
        <f>IF(E44="Choose","",INDEX(Worksheet!$E$76:$E$94,MATCH(Worksheet!$M246,Worksheet!$A$76:$A$94,0)))</f>
        <v/>
      </c>
      <c r="M44" s="344"/>
      <c r="N44" s="343" t="str">
        <f>IF(E44="Choose","",INDEX(Worksheet!$F$76:$F$94,MATCH(Worksheet!$M246,Worksheet!$A$76:$A$94,0)))</f>
        <v/>
      </c>
      <c r="O44" s="344"/>
      <c r="P44" s="214">
        <f ca="1">IF(P16=0,0,IF(E44=Worksheet!A$86,Worksheet!B370,IF(E44=Worksheet!A$87,Worksheet!B370,IF(E44=Worksheet!A$88,Worksheet!B370,ROUND(P16/Worksheet!C$5*Worksheet!C$9*Worksheet!N246+P16/Worksheet!C$5*Worksheet!C$10*Worksheet!O246,0)))))</f>
        <v>0</v>
      </c>
      <c r="Q44" s="214">
        <f ca="1">IF(Q16=0,0,IF(E44=Worksheet!A$86,Worksheet!D370,IF(E44=Worksheet!A$87,Worksheet!D370,IF(E44=Worksheet!A$88,Worksheet!D370,ROUND(Q16/Worksheet!D$5*Worksheet!D$9*Worksheet!P246+Q16/Worksheet!D$5*Worksheet!D$10*Worksheet!Q246,0)))))</f>
        <v>0</v>
      </c>
      <c r="R44" s="214">
        <f ca="1">IF(R16=0,0,IF(E44=Worksheet!A$86,Worksheet!F370,IF(E44=Worksheet!A$87,Worksheet!F370,IF(E44=Worksheet!A$88,Worksheet!F370,ROUND(R16/Worksheet!E$5*Worksheet!E$9*Worksheet!R246+R16/Worksheet!E$5*Worksheet!E$10*Worksheet!S246,0)))))</f>
        <v>0</v>
      </c>
      <c r="S44" s="214">
        <f ca="1">IF(S16=0,0,IF(E44=Worksheet!A$86,Worksheet!H370,IF(E44=Worksheet!A$87,Worksheet!H370,IF(E44=Worksheet!A$88,Worksheet!H370,ROUND(S16/Worksheet!F$5*Worksheet!F$9*Worksheet!T246+S16/Worksheet!F$5*Worksheet!F$10*Worksheet!U246,0)))))</f>
        <v>0</v>
      </c>
      <c r="T44" s="214">
        <f ca="1">IF(T16=0,0,IF(E44=Worksheet!A$86,Worksheet!J370,IF(E44=Worksheet!A$87,Worksheet!J370,IF(E44=Worksheet!A$88,Worksheet!J370,ROUND(T16/Worksheet!G$5*Worksheet!G$9*Worksheet!V246+T16/Worksheet!G$5*Worksheet!G$10*Worksheet!W246,0)))))</f>
        <v>0</v>
      </c>
      <c r="U44" s="156">
        <f t="shared" ca="1" si="4"/>
        <v>0</v>
      </c>
      <c r="V44" s="220"/>
      <c r="W44" s="220"/>
      <c r="X44" s="205"/>
      <c r="Y44" s="205"/>
      <c r="Z44" s="20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</row>
    <row r="45" spans="1:53" x14ac:dyDescent="0.2">
      <c r="A45" s="78">
        <v>10</v>
      </c>
      <c r="B45" s="356">
        <f t="shared" si="3"/>
        <v>0</v>
      </c>
      <c r="C45" s="356"/>
      <c r="D45" s="357"/>
      <c r="E45" s="339" t="s">
        <v>41</v>
      </c>
      <c r="F45" s="340"/>
      <c r="G45" s="300" t="str">
        <f>IF(E45="Choose","",INDEX(Worksheet!$B$76:$B$94,MATCH(Worksheet!$M247,Worksheet!$A$76:$A$94,0)))</f>
        <v/>
      </c>
      <c r="H45" s="341" t="str">
        <f>IF(E45="Choose","",INDEX(Worksheet!$C$76:$C$94,MATCH(Worksheet!$M247,Worksheet!$A$76:$A$94,0)))</f>
        <v/>
      </c>
      <c r="I45" s="342"/>
      <c r="J45" s="343" t="str">
        <f>IF(E45="Choose","",INDEX(Worksheet!$D$76:$D$94,MATCH(Worksheet!$M247,Worksheet!$A$76:$A$94,0)))</f>
        <v/>
      </c>
      <c r="K45" s="344"/>
      <c r="L45" s="343" t="str">
        <f>IF(E45="Choose","",INDEX(Worksheet!$E$76:$E$94,MATCH(Worksheet!$M247,Worksheet!$A$76:$A$94,0)))</f>
        <v/>
      </c>
      <c r="M45" s="344"/>
      <c r="N45" s="343" t="str">
        <f>IF(E45="Choose","",INDEX(Worksheet!$F$76:$F$94,MATCH(Worksheet!$M247,Worksheet!$A$76:$A$94,0)))</f>
        <v/>
      </c>
      <c r="O45" s="344"/>
      <c r="P45" s="214">
        <f ca="1">IF(P17=0,0,IF(E45=Worksheet!A$86,Worksheet!B371,IF(E45=Worksheet!A$87,Worksheet!B371,IF(E45=Worksheet!A$88,Worksheet!B371,ROUND(P17/Worksheet!C$5*Worksheet!C$9*Worksheet!N247+P17/Worksheet!C$5*Worksheet!C$10*Worksheet!O247,0)))))</f>
        <v>0</v>
      </c>
      <c r="Q45" s="214">
        <f ca="1">IF(Q17=0,0,IF(E45=Worksheet!A$86,Worksheet!D371,IF(E45=Worksheet!A$87,Worksheet!D371,IF(E45=Worksheet!A$88,Worksheet!D371,ROUND(Q17/Worksheet!D$5*Worksheet!D$9*Worksheet!P247+Q17/Worksheet!D$5*Worksheet!D$10*Worksheet!Q247,0)))))</f>
        <v>0</v>
      </c>
      <c r="R45" s="214">
        <f ca="1">IF(R17=0,0,IF(E45=Worksheet!A$86,Worksheet!F371,IF(E45=Worksheet!A$87,Worksheet!F371,IF(E45=Worksheet!A$88,Worksheet!F371,ROUND(R17/Worksheet!E$5*Worksheet!E$9*Worksheet!R247+R17/Worksheet!E$5*Worksheet!E$10*Worksheet!S247,0)))))</f>
        <v>0</v>
      </c>
      <c r="S45" s="214">
        <f ca="1">IF(S17=0,0,IF(E45=Worksheet!A$86,Worksheet!H371,IF(E45=Worksheet!A$87,Worksheet!H371,IF(E45=Worksheet!A$88,Worksheet!H371,ROUND(S17/Worksheet!F$5*Worksheet!F$9*Worksheet!T247+S17/Worksheet!F$5*Worksheet!F$10*Worksheet!U247,0)))))</f>
        <v>0</v>
      </c>
      <c r="T45" s="214">
        <f ca="1">IF(T17=0,0,IF(E45=Worksheet!A$86,Worksheet!J371,IF(E45=Worksheet!A$87,Worksheet!J371,IF(E45=Worksheet!A$88,Worksheet!J371,ROUND(T17/Worksheet!G$5*Worksheet!G$9*Worksheet!V247+T17/Worksheet!G$5*Worksheet!G$10*Worksheet!W247,0)))))</f>
        <v>0</v>
      </c>
      <c r="U45" s="156">
        <f t="shared" ca="1" si="4"/>
        <v>0</v>
      </c>
      <c r="V45" s="220"/>
      <c r="W45" s="220"/>
      <c r="X45" s="205"/>
      <c r="Y45" s="205"/>
      <c r="Z45" s="20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</row>
    <row r="46" spans="1:53" x14ac:dyDescent="0.2">
      <c r="A46" s="78">
        <v>11</v>
      </c>
      <c r="B46" s="354">
        <f t="shared" si="3"/>
        <v>0</v>
      </c>
      <c r="C46" s="354"/>
      <c r="D46" s="355"/>
      <c r="E46" s="339" t="s">
        <v>41</v>
      </c>
      <c r="F46" s="340"/>
      <c r="G46" s="300" t="str">
        <f>IF(E46="Choose","",INDEX(Worksheet!$B$76:$B$94,MATCH(Worksheet!$M248,Worksheet!$A$76:$A$94,0)))</f>
        <v/>
      </c>
      <c r="H46" s="341" t="str">
        <f>IF(E46="Choose","",INDEX(Worksheet!$C$76:$C$94,MATCH(Worksheet!$M248,Worksheet!$A$76:$A$94,0)))</f>
        <v/>
      </c>
      <c r="I46" s="342"/>
      <c r="J46" s="343" t="str">
        <f>IF(E46="Choose","",INDEX(Worksheet!$D$76:$D$94,MATCH(Worksheet!$M248,Worksheet!$A$76:$A$94,0)))</f>
        <v/>
      </c>
      <c r="K46" s="344"/>
      <c r="L46" s="343" t="str">
        <f>IF(E46="Choose","",INDEX(Worksheet!$E$76:$E$94,MATCH(Worksheet!$M248,Worksheet!$A$76:$A$94,0)))</f>
        <v/>
      </c>
      <c r="M46" s="344"/>
      <c r="N46" s="343" t="str">
        <f>IF(E46="Choose","",INDEX(Worksheet!$F$76:$F$94,MATCH(Worksheet!$M248,Worksheet!$A$76:$A$94,0)))</f>
        <v/>
      </c>
      <c r="O46" s="344"/>
      <c r="P46" s="214">
        <f ca="1">IF(P18=0,0,IF(E46=Worksheet!A$86,Worksheet!B372,IF(E46=Worksheet!A$87,Worksheet!B372,IF(E46=Worksheet!A$88,Worksheet!B372,ROUND(P18/Worksheet!C$5*Worksheet!C$9*Worksheet!N248+P18/Worksheet!C$5*Worksheet!C$10*Worksheet!O248,0)))))</f>
        <v>0</v>
      </c>
      <c r="Q46" s="214">
        <f ca="1">IF(Q18=0,0,IF(E46=Worksheet!A$86,Worksheet!D372,IF(E46=Worksheet!A$87,Worksheet!D372,IF(E46=Worksheet!A$88,Worksheet!D372,ROUND(Q18/Worksheet!D$5*Worksheet!D$9*Worksheet!P248+Q18/Worksheet!D$5*Worksheet!D$10*Worksheet!Q248,0)))))</f>
        <v>0</v>
      </c>
      <c r="R46" s="214">
        <f ca="1">IF(R18=0,0,IF(E46=Worksheet!A$86,Worksheet!F372,IF(E46=Worksheet!A$87,Worksheet!F372,IF(E46=Worksheet!A$88,Worksheet!F372,ROUND(R18/Worksheet!E$5*Worksheet!E$9*Worksheet!R248+R18/Worksheet!E$5*Worksheet!E$10*Worksheet!S248,0)))))</f>
        <v>0</v>
      </c>
      <c r="S46" s="214">
        <f ca="1">IF(S18=0,0,IF(E46=Worksheet!A$86,Worksheet!H372,IF(E46=Worksheet!A$87,Worksheet!H372,IF(E46=Worksheet!A$88,Worksheet!H372,ROUND(S18/Worksheet!F$5*Worksheet!F$9*Worksheet!T248+S18/Worksheet!F$5*Worksheet!F$10*Worksheet!U248,0)))))</f>
        <v>0</v>
      </c>
      <c r="T46" s="214">
        <f ca="1">IF(T18=0,0,IF(E46=Worksheet!A$86,Worksheet!J372,IF(E46=Worksheet!A$87,Worksheet!J372,IF(E46=Worksheet!A$88,Worksheet!J372,ROUND(T18/Worksheet!G$5*Worksheet!G$9*Worksheet!V248+T18/Worksheet!G$5*Worksheet!G$10*Worksheet!W248,0)))))</f>
        <v>0</v>
      </c>
      <c r="U46" s="156">
        <f t="shared" ca="1" si="4"/>
        <v>0</v>
      </c>
      <c r="V46" s="220"/>
      <c r="W46" s="220"/>
      <c r="X46" s="205"/>
      <c r="Y46" s="205"/>
      <c r="Z46" s="205"/>
      <c r="AA46" s="195"/>
      <c r="AB46" s="195"/>
      <c r="AC46" s="195"/>
      <c r="AD46" s="195"/>
      <c r="AE46" s="195"/>
      <c r="AF46" s="195"/>
      <c r="AG46" s="195"/>
      <c r="AH46" s="195"/>
      <c r="AI46" s="195"/>
      <c r="AJ46" s="195"/>
      <c r="AK46" s="195"/>
      <c r="AL46" s="195"/>
      <c r="AM46" s="195"/>
      <c r="AN46" s="195"/>
      <c r="AO46" s="195"/>
      <c r="AP46" s="195"/>
      <c r="AQ46" s="195"/>
      <c r="AR46" s="195"/>
      <c r="AS46" s="195"/>
      <c r="AT46" s="195"/>
      <c r="AU46" s="195"/>
      <c r="AV46" s="195"/>
      <c r="AW46" s="195"/>
      <c r="AX46" s="195"/>
      <c r="AY46" s="195"/>
      <c r="AZ46" s="195"/>
      <c r="BA46" s="195"/>
    </row>
    <row r="47" spans="1:53" x14ac:dyDescent="0.2">
      <c r="A47" s="78">
        <v>12</v>
      </c>
      <c r="B47" s="356">
        <f t="shared" si="3"/>
        <v>0</v>
      </c>
      <c r="C47" s="356"/>
      <c r="D47" s="357"/>
      <c r="E47" s="339" t="s">
        <v>41</v>
      </c>
      <c r="F47" s="340"/>
      <c r="G47" s="300" t="str">
        <f>IF(E47="Choose","",INDEX(Worksheet!$B$76:$B$94,MATCH(Worksheet!$M249,Worksheet!$A$76:$A$94,0)))</f>
        <v/>
      </c>
      <c r="H47" s="341" t="str">
        <f>IF(E47="Choose","",INDEX(Worksheet!$C$76:$C$94,MATCH(Worksheet!$M249,Worksheet!$A$76:$A$94,0)))</f>
        <v/>
      </c>
      <c r="I47" s="342"/>
      <c r="J47" s="343" t="str">
        <f>IF(E47="Choose","",INDEX(Worksheet!$D$76:$D$94,MATCH(Worksheet!$M249,Worksheet!$A$76:$A$94,0)))</f>
        <v/>
      </c>
      <c r="K47" s="344"/>
      <c r="L47" s="343" t="str">
        <f>IF(E47="Choose","",INDEX(Worksheet!$E$76:$E$94,MATCH(Worksheet!$M249,Worksheet!$A$76:$A$94,0)))</f>
        <v/>
      </c>
      <c r="M47" s="344"/>
      <c r="N47" s="343" t="str">
        <f>IF(E47="Choose","",INDEX(Worksheet!$F$76:$F$94,MATCH(Worksheet!$M249,Worksheet!$A$76:$A$94,0)))</f>
        <v/>
      </c>
      <c r="O47" s="344"/>
      <c r="P47" s="214">
        <f ca="1">IF(P19=0,0,IF(E47=Worksheet!A$86,Worksheet!B373,IF(E47=Worksheet!A$87,Worksheet!B373,IF(E47=Worksheet!A$88,Worksheet!B373,ROUND(P19/Worksheet!C$5*Worksheet!C$9*Worksheet!N249+P19/Worksheet!C$5*Worksheet!C$10*Worksheet!O249,0)))))</f>
        <v>0</v>
      </c>
      <c r="Q47" s="214">
        <f ca="1">IF(Q19=0,0,IF(E47=Worksheet!A$86,Worksheet!D373,IF(E47=Worksheet!A$87,Worksheet!D373,IF(E47=Worksheet!A$88,Worksheet!D373,ROUND(Q19/Worksheet!D$5*Worksheet!D$9*Worksheet!P249+Q19/Worksheet!D$5*Worksheet!D$10*Worksheet!Q249,0)))))</f>
        <v>0</v>
      </c>
      <c r="R47" s="214">
        <f ca="1">IF(R19=0,0,IF(E47=Worksheet!A$86,Worksheet!F373,IF(E47=Worksheet!A$87,Worksheet!F373,IF(E47=Worksheet!A$88,Worksheet!F373,ROUND(R19/Worksheet!E$5*Worksheet!E$9*Worksheet!R249+R19/Worksheet!E$5*Worksheet!E$10*Worksheet!S249,0)))))</f>
        <v>0</v>
      </c>
      <c r="S47" s="214">
        <f ca="1">IF(S19=0,0,IF(E47=Worksheet!A$86,Worksheet!H373,IF(E47=Worksheet!A$87,Worksheet!H373,IF(E47=Worksheet!A$88,Worksheet!H373,ROUND(S19/Worksheet!F$5*Worksheet!F$9*Worksheet!T249+S19/Worksheet!F$5*Worksheet!F$10*Worksheet!U249,0)))))</f>
        <v>0</v>
      </c>
      <c r="T47" s="214">
        <f ca="1">IF(T19=0,0,IF(E47=Worksheet!A$86,Worksheet!J373,IF(E47=Worksheet!A$87,Worksheet!J373,IF(E47=Worksheet!A$88,Worksheet!J373,ROUND(T19/Worksheet!G$5*Worksheet!G$9*Worksheet!V249+T19/Worksheet!G$5*Worksheet!G$10*Worksheet!W249,0)))))</f>
        <v>0</v>
      </c>
      <c r="U47" s="156">
        <f t="shared" ca="1" si="4"/>
        <v>0</v>
      </c>
      <c r="V47" s="220"/>
      <c r="W47" s="220"/>
      <c r="X47" s="205"/>
      <c r="Y47" s="205"/>
      <c r="Z47" s="20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</row>
    <row r="48" spans="1:53" hidden="1" x14ac:dyDescent="0.2">
      <c r="A48" s="78">
        <v>13</v>
      </c>
      <c r="B48" s="356">
        <f t="shared" si="3"/>
        <v>0</v>
      </c>
      <c r="C48" s="356"/>
      <c r="D48" s="357"/>
      <c r="E48" s="339" t="s">
        <v>41</v>
      </c>
      <c r="F48" s="340"/>
      <c r="G48" s="300" t="str">
        <f>IF(E48="Choose","",INDEX(Worksheet!$B$76:$B$94,MATCH(Worksheet!$M250,Worksheet!$A$76:$A$94,0)))</f>
        <v/>
      </c>
      <c r="H48" s="341" t="str">
        <f>IF(E48="Choose","",INDEX(Worksheet!$C$76:$C$94,MATCH(Worksheet!$M250,Worksheet!$A$76:$A$94,0)))</f>
        <v/>
      </c>
      <c r="I48" s="342"/>
      <c r="J48" s="343" t="str">
        <f>IF(E48="Choose","",INDEX(Worksheet!$D$76:$D$94,MATCH(Worksheet!$M250,Worksheet!$A$76:$A$94,0)))</f>
        <v/>
      </c>
      <c r="K48" s="344"/>
      <c r="L48" s="343" t="str">
        <f>IF(E48="Choose","",INDEX(Worksheet!$E$76:$E$94,MATCH(Worksheet!$M250,Worksheet!$A$76:$A$94,0)))</f>
        <v/>
      </c>
      <c r="M48" s="344"/>
      <c r="N48" s="343" t="str">
        <f>IF(E48="Choose","",INDEX(Worksheet!$F$76:$F$94,MATCH(Worksheet!$M250,Worksheet!$A$76:$A$94,0)))</f>
        <v/>
      </c>
      <c r="O48" s="344"/>
      <c r="P48" s="214">
        <f ca="1">IF(P20=0,0,IF(E48=Worksheet!A$86,Worksheet!B374,IF(E48=Worksheet!A$87,Worksheet!B374,IF(E48=Worksheet!A$88,Worksheet!B374,ROUND(P20/Worksheet!C$5*Worksheet!C$9*Worksheet!N250+P20/Worksheet!C$5*Worksheet!C$10*Worksheet!O250,0)))))</f>
        <v>0</v>
      </c>
      <c r="Q48" s="214">
        <f ca="1">IF(Q20=0,0,IF(E48=Worksheet!A$86,Worksheet!D374,IF(E48=Worksheet!A$87,Worksheet!D374,IF(E48=Worksheet!A$88,Worksheet!D374,ROUND(Q20/Worksheet!D$5*Worksheet!D$9*Worksheet!P250+Q20/Worksheet!D$5*Worksheet!D$10*Worksheet!Q250,0)))))</f>
        <v>0</v>
      </c>
      <c r="R48" s="214">
        <f ca="1">IF(R20=0,0,IF(E48=Worksheet!A$86,Worksheet!F374,IF(E48=Worksheet!A$87,Worksheet!F374,IF(E48=Worksheet!A$88,Worksheet!F374,ROUND(R20/Worksheet!E$5*Worksheet!E$9*Worksheet!R250+R20/Worksheet!E$5*Worksheet!E$10*Worksheet!S250,0)))))</f>
        <v>0</v>
      </c>
      <c r="S48" s="214">
        <f ca="1">IF(S20=0,0,IF(E48=Worksheet!A$86,Worksheet!H374,IF(E48=Worksheet!A$87,Worksheet!H374,IF(E48=Worksheet!A$88,Worksheet!H374,ROUND(S20/Worksheet!F$5*Worksheet!F$9*Worksheet!T250+S20/Worksheet!F$5*Worksheet!F$10*Worksheet!U250,0)))))</f>
        <v>0</v>
      </c>
      <c r="T48" s="214">
        <f ca="1">IF(T20=0,0,IF(E48=Worksheet!A$86,Worksheet!J374,IF(E48=Worksheet!A$87,Worksheet!J374,IF(E48=Worksheet!A$88,Worksheet!J374,ROUND(T20/Worksheet!G$5*Worksheet!G$9*Worksheet!V250+T20/Worksheet!G$5*Worksheet!G$10*Worksheet!W250,0)))))</f>
        <v>0</v>
      </c>
      <c r="U48" s="156">
        <f t="shared" ca="1" si="4"/>
        <v>0</v>
      </c>
      <c r="V48" s="220"/>
      <c r="W48" s="220"/>
      <c r="X48" s="205"/>
      <c r="Y48" s="205"/>
      <c r="Z48" s="20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</row>
    <row r="49" spans="1:53" hidden="1" x14ac:dyDescent="0.2">
      <c r="A49" s="78">
        <v>14</v>
      </c>
      <c r="B49" s="356">
        <f t="shared" si="3"/>
        <v>0</v>
      </c>
      <c r="C49" s="356"/>
      <c r="D49" s="357"/>
      <c r="E49" s="339" t="s">
        <v>41</v>
      </c>
      <c r="F49" s="340"/>
      <c r="G49" s="300" t="str">
        <f>IF(E49="Choose","",INDEX(Worksheet!$B$76:$B$94,MATCH(Worksheet!$M251,Worksheet!$A$76:$A$94,0)))</f>
        <v/>
      </c>
      <c r="H49" s="341" t="str">
        <f>IF(E49="Choose","",INDEX(Worksheet!$C$76:$C$94,MATCH(Worksheet!$M251,Worksheet!$A$76:$A$94,0)))</f>
        <v/>
      </c>
      <c r="I49" s="342"/>
      <c r="J49" s="343" t="str">
        <f>IF(E49="Choose","",INDEX(Worksheet!$D$76:$D$94,MATCH(Worksheet!$M251,Worksheet!$A$76:$A$94,0)))</f>
        <v/>
      </c>
      <c r="K49" s="344"/>
      <c r="L49" s="343" t="str">
        <f>IF(E49="Choose","",INDEX(Worksheet!$E$76:$E$94,MATCH(Worksheet!$M251,Worksheet!$A$76:$A$94,0)))</f>
        <v/>
      </c>
      <c r="M49" s="344"/>
      <c r="N49" s="343" t="str">
        <f>IF(E49="Choose","",INDEX(Worksheet!$F$76:$F$94,MATCH(Worksheet!$M251,Worksheet!$A$76:$A$94,0)))</f>
        <v/>
      </c>
      <c r="O49" s="344"/>
      <c r="P49" s="214">
        <f ca="1">IF(P21=0,0,IF(E49=Worksheet!A$86,Worksheet!B375,IF(E49=Worksheet!A$87,Worksheet!B375,IF(E49=Worksheet!A$88,Worksheet!B375,ROUND(P21/Worksheet!C$5*Worksheet!C$9*Worksheet!N251+P21/Worksheet!C$5*Worksheet!C$10*Worksheet!O251,0)))))</f>
        <v>0</v>
      </c>
      <c r="Q49" s="214">
        <f ca="1">IF(Q21=0,0,IF(E49=Worksheet!A$86,Worksheet!D375,IF(E49=Worksheet!A$87,Worksheet!D375,IF(E49=Worksheet!A$88,Worksheet!D375,ROUND(Q21/Worksheet!D$5*Worksheet!D$9*Worksheet!P251+Q21/Worksheet!D$5*Worksheet!D$10*Worksheet!Q251,0)))))</f>
        <v>0</v>
      </c>
      <c r="R49" s="214">
        <f ca="1">IF(R21=0,0,IF(E49=Worksheet!A$86,Worksheet!F375,IF(E49=Worksheet!A$87,Worksheet!F375,IF(E49=Worksheet!A$88,Worksheet!F375,ROUND(R21/Worksheet!E$5*Worksheet!E$9*Worksheet!R251+R21/Worksheet!E$5*Worksheet!E$10*Worksheet!S251,0)))))</f>
        <v>0</v>
      </c>
      <c r="S49" s="214">
        <f ca="1">IF(S21=0,0,IF(E49=Worksheet!A$86,Worksheet!H375,IF(E49=Worksheet!A$87,Worksheet!H375,IF(E49=Worksheet!A$88,Worksheet!H375,ROUND(S21/Worksheet!F$5*Worksheet!F$9*Worksheet!T251+S21/Worksheet!F$5*Worksheet!F$10*Worksheet!U251,0)))))</f>
        <v>0</v>
      </c>
      <c r="T49" s="214">
        <f ca="1">IF(T21=0,0,IF(E49=Worksheet!A$86,Worksheet!J375,IF(E49=Worksheet!A$87,Worksheet!J375,IF(E49=Worksheet!A$88,Worksheet!J375,ROUND(T21/Worksheet!G$5*Worksheet!G$9*Worksheet!V251+T21/Worksheet!G$5*Worksheet!G$10*Worksheet!W251,0)))))</f>
        <v>0</v>
      </c>
      <c r="U49" s="156">
        <f t="shared" ca="1" si="4"/>
        <v>0</v>
      </c>
      <c r="V49" s="220"/>
      <c r="W49" s="220"/>
      <c r="X49" s="205"/>
      <c r="Y49" s="205"/>
      <c r="Z49" s="20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</row>
    <row r="50" spans="1:53" hidden="1" x14ac:dyDescent="0.2">
      <c r="A50" s="78">
        <v>15</v>
      </c>
      <c r="B50" s="354">
        <f t="shared" si="3"/>
        <v>0</v>
      </c>
      <c r="C50" s="354"/>
      <c r="D50" s="355"/>
      <c r="E50" s="339" t="s">
        <v>41</v>
      </c>
      <c r="F50" s="340"/>
      <c r="G50" s="300" t="str">
        <f>IF(E50="Choose","",INDEX(Worksheet!$B$76:$B$94,MATCH(Worksheet!$M252,Worksheet!$A$76:$A$94,0)))</f>
        <v/>
      </c>
      <c r="H50" s="341" t="str">
        <f>IF(E50="Choose","",INDEX(Worksheet!$C$76:$C$94,MATCH(Worksheet!$M252,Worksheet!$A$76:$A$94,0)))</f>
        <v/>
      </c>
      <c r="I50" s="342"/>
      <c r="J50" s="343" t="str">
        <f>IF(E50="Choose","",INDEX(Worksheet!$D$76:$D$94,MATCH(Worksheet!$M252,Worksheet!$A$76:$A$94,0)))</f>
        <v/>
      </c>
      <c r="K50" s="344"/>
      <c r="L50" s="343" t="str">
        <f>IF(E50="Choose","",INDEX(Worksheet!$E$76:$E$94,MATCH(Worksheet!$M252,Worksheet!$A$76:$A$94,0)))</f>
        <v/>
      </c>
      <c r="M50" s="344"/>
      <c r="N50" s="343" t="str">
        <f>IF(E50="Choose","",INDEX(Worksheet!$F$76:$F$94,MATCH(Worksheet!$M252,Worksheet!$A$76:$A$94,0)))</f>
        <v/>
      </c>
      <c r="O50" s="344"/>
      <c r="P50" s="214">
        <f ca="1">IF(P22=0,0,IF(E50=Worksheet!A$86,Worksheet!B376,IF(E50=Worksheet!A$87,Worksheet!B376,IF(E50=Worksheet!A$88,Worksheet!B376,ROUND(P22/Worksheet!C$5*Worksheet!C$9*Worksheet!N252+P22/Worksheet!C$5*Worksheet!C$10*Worksheet!O252,0)))))</f>
        <v>0</v>
      </c>
      <c r="Q50" s="214">
        <f ca="1">IF(Q22=0,0,IF(E50=Worksheet!A$86,Worksheet!D376,IF(E50=Worksheet!A$87,Worksheet!D376,IF(E50=Worksheet!A$88,Worksheet!D376,ROUND(Q22/Worksheet!D$5*Worksheet!D$9*Worksheet!P252+Q22/Worksheet!D$5*Worksheet!D$10*Worksheet!Q252,0)))))</f>
        <v>0</v>
      </c>
      <c r="R50" s="214">
        <f ca="1">IF(R22=0,0,IF(E50=Worksheet!A$86,Worksheet!F376,IF(E50=Worksheet!A$87,Worksheet!F376,IF(E50=Worksheet!A$88,Worksheet!F376,ROUND(R22/Worksheet!E$5*Worksheet!E$9*Worksheet!R252+R22/Worksheet!E$5*Worksheet!E$10*Worksheet!S252,0)))))</f>
        <v>0</v>
      </c>
      <c r="S50" s="214">
        <f ca="1">IF(S22=0,0,IF(E50=Worksheet!A$86,Worksheet!H376,IF(E50=Worksheet!A$87,Worksheet!H376,IF(E50=Worksheet!A$88,Worksheet!H376,ROUND(S22/Worksheet!F$5*Worksheet!F$9*Worksheet!T252+S22/Worksheet!F$5*Worksheet!F$10*Worksheet!U252,0)))))</f>
        <v>0</v>
      </c>
      <c r="T50" s="214">
        <f ca="1">IF(T22=0,0,IF(E50=Worksheet!A$86,Worksheet!J376,IF(E50=Worksheet!A$87,Worksheet!J376,IF(E50=Worksheet!A$88,Worksheet!J376,ROUND(T22/Worksheet!G$5*Worksheet!G$9*Worksheet!V252+T22/Worksheet!G$5*Worksheet!G$10*Worksheet!W252,0)))))</f>
        <v>0</v>
      </c>
      <c r="U50" s="156">
        <f t="shared" ca="1" si="4"/>
        <v>0</v>
      </c>
      <c r="V50" s="220"/>
      <c r="W50" s="220"/>
      <c r="X50" s="205"/>
      <c r="Y50" s="205"/>
      <c r="Z50" s="20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</row>
    <row r="51" spans="1:53" hidden="1" x14ac:dyDescent="0.2">
      <c r="A51" s="78">
        <v>16</v>
      </c>
      <c r="B51" s="356">
        <f t="shared" si="3"/>
        <v>0</v>
      </c>
      <c r="C51" s="356"/>
      <c r="D51" s="357"/>
      <c r="E51" s="339" t="s">
        <v>41</v>
      </c>
      <c r="F51" s="340"/>
      <c r="G51" s="300" t="str">
        <f>IF(E51="Choose","",INDEX(Worksheet!$B$76:$B$94,MATCH(Worksheet!$M253,Worksheet!$A$76:$A$94,0)))</f>
        <v/>
      </c>
      <c r="H51" s="341" t="str">
        <f>IF(E51="Choose","",INDEX(Worksheet!$C$76:$C$94,MATCH(Worksheet!$M253,Worksheet!$A$76:$A$94,0)))</f>
        <v/>
      </c>
      <c r="I51" s="342"/>
      <c r="J51" s="343" t="str">
        <f>IF(E51="Choose","",INDEX(Worksheet!$D$76:$D$94,MATCH(Worksheet!$M253,Worksheet!$A$76:$A$94,0)))</f>
        <v/>
      </c>
      <c r="K51" s="344"/>
      <c r="L51" s="343" t="str">
        <f>IF(E51="Choose","",INDEX(Worksheet!$E$76:$E$94,MATCH(Worksheet!$M253,Worksheet!$A$76:$A$94,0)))</f>
        <v/>
      </c>
      <c r="M51" s="344"/>
      <c r="N51" s="343" t="str">
        <f>IF(E51="Choose","",INDEX(Worksheet!$F$76:$F$94,MATCH(Worksheet!$M253,Worksheet!$A$76:$A$94,0)))</f>
        <v/>
      </c>
      <c r="O51" s="344"/>
      <c r="P51" s="214">
        <f ca="1">IF(P23=0,0,IF(E51=Worksheet!A$86,Worksheet!B377,IF(E51=Worksheet!A$87,Worksheet!B377,IF(E51=Worksheet!A$88,Worksheet!B377,ROUND(P23/Worksheet!C$5*Worksheet!C$9*Worksheet!N253+P23/Worksheet!C$5*Worksheet!C$10*Worksheet!O253,0)))))</f>
        <v>0</v>
      </c>
      <c r="Q51" s="214">
        <f ca="1">IF(Q23=0,0,IF(E51=Worksheet!A$86,Worksheet!D377,IF(E51=Worksheet!A$87,Worksheet!D377,IF(E51=Worksheet!A$88,Worksheet!D377,ROUND(Q23/Worksheet!D$5*Worksheet!D$9*Worksheet!P253+Q23/Worksheet!D$5*Worksheet!D$10*Worksheet!Q253,0)))))</f>
        <v>0</v>
      </c>
      <c r="R51" s="214">
        <f ca="1">IF(R23=0,0,IF(E51=Worksheet!A$86,Worksheet!F377,IF(E51=Worksheet!A$87,Worksheet!F377,IF(E51=Worksheet!A$88,Worksheet!F377,ROUND(R23/Worksheet!E$5*Worksheet!E$9*Worksheet!R253+R23/Worksheet!E$5*Worksheet!E$10*Worksheet!S253,0)))))</f>
        <v>0</v>
      </c>
      <c r="S51" s="214">
        <f ca="1">IF(S23=0,0,IF(E51=Worksheet!A$86,Worksheet!H377,IF(E51=Worksheet!A$87,Worksheet!H377,IF(E51=Worksheet!A$88,Worksheet!H377,ROUND(S23/Worksheet!F$5*Worksheet!F$9*Worksheet!T253+S23/Worksheet!F$5*Worksheet!F$10*Worksheet!U253,0)))))</f>
        <v>0</v>
      </c>
      <c r="T51" s="214">
        <f ca="1">IF(T23=0,0,IF(E51=Worksheet!A$86,Worksheet!J377,IF(E51=Worksheet!A$87,Worksheet!J377,IF(E51=Worksheet!A$88,Worksheet!J377,ROUND(T23/Worksheet!G$5*Worksheet!G$9*Worksheet!V253+T23/Worksheet!G$5*Worksheet!G$10*Worksheet!W253,0)))))</f>
        <v>0</v>
      </c>
      <c r="U51" s="156">
        <f t="shared" ca="1" si="4"/>
        <v>0</v>
      </c>
      <c r="V51" s="220"/>
      <c r="W51" s="220"/>
      <c r="X51" s="205"/>
      <c r="Y51" s="205"/>
      <c r="Z51" s="205"/>
      <c r="AA51" s="195"/>
      <c r="AB51" s="195"/>
      <c r="AC51" s="195"/>
      <c r="AD51" s="195"/>
      <c r="AE51" s="195"/>
      <c r="AF51" s="195"/>
      <c r="AG51" s="195"/>
      <c r="AH51" s="195"/>
      <c r="AI51" s="195"/>
      <c r="AJ51" s="195"/>
      <c r="AK51" s="195"/>
      <c r="AL51" s="195"/>
      <c r="AM51" s="195"/>
      <c r="AN51" s="195"/>
      <c r="AO51" s="195"/>
      <c r="AP51" s="195"/>
      <c r="AQ51" s="195"/>
      <c r="AR51" s="195"/>
      <c r="AS51" s="195"/>
      <c r="AT51" s="195"/>
      <c r="AU51" s="195"/>
      <c r="AV51" s="195"/>
      <c r="AW51" s="195"/>
      <c r="AX51" s="195"/>
      <c r="AY51" s="195"/>
      <c r="AZ51" s="195"/>
      <c r="BA51" s="195"/>
    </row>
    <row r="52" spans="1:53" hidden="1" x14ac:dyDescent="0.2">
      <c r="A52" s="78">
        <v>17</v>
      </c>
      <c r="B52" s="356">
        <f t="shared" si="3"/>
        <v>0</v>
      </c>
      <c r="C52" s="356"/>
      <c r="D52" s="357"/>
      <c r="E52" s="339" t="s">
        <v>41</v>
      </c>
      <c r="F52" s="340"/>
      <c r="G52" s="300" t="str">
        <f>IF(E52="Choose","",INDEX(Worksheet!$B$76:$B$94,MATCH(Worksheet!$M254,Worksheet!$A$76:$A$94,0)))</f>
        <v/>
      </c>
      <c r="H52" s="341" t="str">
        <f>IF(E52="Choose","",INDEX(Worksheet!$C$76:$C$94,MATCH(Worksheet!$M254,Worksheet!$A$76:$A$94,0)))</f>
        <v/>
      </c>
      <c r="I52" s="342"/>
      <c r="J52" s="343" t="str">
        <f>IF(E52="Choose","",INDEX(Worksheet!$D$76:$D$94,MATCH(Worksheet!$M254,Worksheet!$A$76:$A$94,0)))</f>
        <v/>
      </c>
      <c r="K52" s="344"/>
      <c r="L52" s="343" t="str">
        <f>IF(E52="Choose","",INDEX(Worksheet!$E$76:$E$94,MATCH(Worksheet!$M254,Worksheet!$A$76:$A$94,0)))</f>
        <v/>
      </c>
      <c r="M52" s="344"/>
      <c r="N52" s="343" t="str">
        <f>IF(E52="Choose","",INDEX(Worksheet!$F$76:$F$94,MATCH(Worksheet!$M254,Worksheet!$A$76:$A$94,0)))</f>
        <v/>
      </c>
      <c r="O52" s="344"/>
      <c r="P52" s="214">
        <f ca="1">IF(P24=0,0,IF(E52=Worksheet!A$86,Worksheet!B378,IF(E52=Worksheet!A$87,Worksheet!B378,IF(E52=Worksheet!A$88,Worksheet!B378,ROUND(P24/Worksheet!C$5*Worksheet!C$9*Worksheet!N254+P24/Worksheet!C$5*Worksheet!C$10*Worksheet!O254,0)))))</f>
        <v>0</v>
      </c>
      <c r="Q52" s="214">
        <f ca="1">IF(Q24=0,0,IF(E52=Worksheet!A$86,Worksheet!D378,IF(E52=Worksheet!A$87,Worksheet!D378,IF(E52=Worksheet!A$88,Worksheet!D378,ROUND(Q24/Worksheet!D$5*Worksheet!D$9*Worksheet!P254+Q24/Worksheet!D$5*Worksheet!D$10*Worksheet!Q254,0)))))</f>
        <v>0</v>
      </c>
      <c r="R52" s="214">
        <f ca="1">IF(R24=0,0,IF(E52=Worksheet!A$86,Worksheet!F378,IF(E52=Worksheet!A$87,Worksheet!F378,IF(E52=Worksheet!A$88,Worksheet!F378,ROUND(R24/Worksheet!E$5*Worksheet!E$9*Worksheet!R254+R24/Worksheet!E$5*Worksheet!E$10*Worksheet!S254,0)))))</f>
        <v>0</v>
      </c>
      <c r="S52" s="214">
        <f ca="1">IF(S24=0,0,IF(E52=Worksheet!A$86,Worksheet!H378,IF(E52=Worksheet!A$87,Worksheet!H378,IF(E52=Worksheet!A$88,Worksheet!H378,ROUND(S24/Worksheet!F$5*Worksheet!F$9*Worksheet!T254+S24/Worksheet!F$5*Worksheet!F$10*Worksheet!U254,0)))))</f>
        <v>0</v>
      </c>
      <c r="T52" s="214">
        <f ca="1">IF(T24=0,0,IF(E52=Worksheet!A$86,Worksheet!J378,IF(E52=Worksheet!A$87,Worksheet!J378,IF(E52=Worksheet!A$88,Worksheet!J378,ROUND(T24/Worksheet!G$5*Worksheet!G$9*Worksheet!V254+T24/Worksheet!G$5*Worksheet!G$10*Worksheet!W254,0)))))</f>
        <v>0</v>
      </c>
      <c r="U52" s="156">
        <f t="shared" ca="1" si="4"/>
        <v>0</v>
      </c>
      <c r="V52" s="220"/>
      <c r="W52" s="220"/>
      <c r="X52" s="205"/>
      <c r="Y52" s="205"/>
      <c r="Z52" s="205"/>
      <c r="AA52" s="195"/>
      <c r="AB52" s="195"/>
      <c r="AC52" s="195"/>
      <c r="AD52" s="195"/>
      <c r="AE52" s="195"/>
      <c r="AF52" s="195"/>
      <c r="AG52" s="195"/>
      <c r="AH52" s="195"/>
      <c r="AI52" s="195"/>
      <c r="AJ52" s="195"/>
      <c r="AK52" s="195"/>
      <c r="AL52" s="195"/>
      <c r="AM52" s="195"/>
      <c r="AN52" s="195"/>
      <c r="AO52" s="195"/>
      <c r="AP52" s="195"/>
      <c r="AQ52" s="195"/>
      <c r="AR52" s="195"/>
      <c r="AS52" s="195"/>
      <c r="AT52" s="195"/>
      <c r="AU52" s="195"/>
      <c r="AV52" s="195"/>
      <c r="AW52" s="195"/>
      <c r="AX52" s="195"/>
      <c r="AY52" s="195"/>
      <c r="AZ52" s="195"/>
      <c r="BA52" s="195"/>
    </row>
    <row r="53" spans="1:53" hidden="1" x14ac:dyDescent="0.2">
      <c r="A53" s="78">
        <v>18</v>
      </c>
      <c r="B53" s="356">
        <f t="shared" si="3"/>
        <v>0</v>
      </c>
      <c r="C53" s="356"/>
      <c r="D53" s="357"/>
      <c r="E53" s="339" t="s">
        <v>41</v>
      </c>
      <c r="F53" s="340"/>
      <c r="G53" s="300" t="str">
        <f>IF(E53="Choose","",INDEX(Worksheet!$B$76:$B$94,MATCH(Worksheet!$M255,Worksheet!$A$76:$A$94,0)))</f>
        <v/>
      </c>
      <c r="H53" s="341" t="str">
        <f>IF(E53="Choose","",INDEX(Worksheet!$C$76:$C$94,MATCH(Worksheet!$M255,Worksheet!$A$76:$A$94,0)))</f>
        <v/>
      </c>
      <c r="I53" s="342"/>
      <c r="J53" s="343" t="str">
        <f>IF(E53="Choose","",INDEX(Worksheet!$D$76:$D$94,MATCH(Worksheet!$M255,Worksheet!$A$76:$A$94,0)))</f>
        <v/>
      </c>
      <c r="K53" s="344"/>
      <c r="L53" s="343" t="str">
        <f>IF(E53="Choose","",INDEX(Worksheet!$E$76:$E$94,MATCH(Worksheet!$M255,Worksheet!$A$76:$A$94,0)))</f>
        <v/>
      </c>
      <c r="M53" s="344"/>
      <c r="N53" s="343" t="str">
        <f>IF(E53="Choose","",INDEX(Worksheet!$F$76:$F$94,MATCH(Worksheet!$M255,Worksheet!$A$76:$A$94,0)))</f>
        <v/>
      </c>
      <c r="O53" s="344"/>
      <c r="P53" s="214">
        <f ca="1">IF(P25=0,0,IF(E53=Worksheet!A$86,Worksheet!B379,IF(E53=Worksheet!A$87,Worksheet!B379,IF(E53=Worksheet!A$88,Worksheet!B379,ROUND(P25/Worksheet!C$5*Worksheet!C$9*Worksheet!N255+P25/Worksheet!C$5*Worksheet!C$10*Worksheet!O255,0)))))</f>
        <v>0</v>
      </c>
      <c r="Q53" s="214">
        <f ca="1">IF(Q25=0,0,IF(E53=Worksheet!A$86,Worksheet!D379,IF(E53=Worksheet!A$87,Worksheet!D379,IF(E53=Worksheet!A$88,Worksheet!D379,ROUND(Q25/Worksheet!D$5*Worksheet!D$9*Worksheet!P255+Q25/Worksheet!D$5*Worksheet!D$10*Worksheet!Q255,0)))))</f>
        <v>0</v>
      </c>
      <c r="R53" s="214">
        <f ca="1">IF(R25=0,0,IF(E53=Worksheet!A$86,Worksheet!F379,IF(E53=Worksheet!A$87,Worksheet!F379,IF(E53=Worksheet!A$88,Worksheet!F379,ROUND(R25/Worksheet!E$5*Worksheet!E$9*Worksheet!R255+R25/Worksheet!E$5*Worksheet!E$10*Worksheet!S255,0)))))</f>
        <v>0</v>
      </c>
      <c r="S53" s="214">
        <f ca="1">IF(S25=0,0,IF(E53=Worksheet!A$86,Worksheet!H379,IF(E53=Worksheet!A$87,Worksheet!H379,IF(E53=Worksheet!A$88,Worksheet!H379,ROUND(S25/Worksheet!F$5*Worksheet!F$9*Worksheet!T255+S25/Worksheet!F$5*Worksheet!F$10*Worksheet!U255,0)))))</f>
        <v>0</v>
      </c>
      <c r="T53" s="214">
        <f ca="1">IF(T25=0,0,IF(E53=Worksheet!A$86,Worksheet!J379,IF(E53=Worksheet!A$87,Worksheet!J379,IF(E53=Worksheet!A$88,Worksheet!J379,ROUND(T25/Worksheet!G$5*Worksheet!G$9*Worksheet!V255+T25/Worksheet!G$5*Worksheet!G$10*Worksheet!W255,0)))))</f>
        <v>0</v>
      </c>
      <c r="U53" s="156">
        <f t="shared" ca="1" si="4"/>
        <v>0</v>
      </c>
      <c r="V53" s="220"/>
      <c r="W53" s="220"/>
      <c r="X53" s="205"/>
      <c r="Y53" s="205"/>
      <c r="Z53" s="20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</row>
    <row r="54" spans="1:53" hidden="1" x14ac:dyDescent="0.2">
      <c r="A54" s="78">
        <v>19</v>
      </c>
      <c r="B54" s="476">
        <f t="shared" si="3"/>
        <v>0</v>
      </c>
      <c r="C54" s="476"/>
      <c r="D54" s="477"/>
      <c r="E54" s="339" t="s">
        <v>41</v>
      </c>
      <c r="F54" s="340"/>
      <c r="G54" s="300" t="str">
        <f>IF(E54="Choose","",INDEX(Worksheet!$B$76:$B$94,MATCH(Worksheet!$M256,Worksheet!$A$76:$A$94,0)))</f>
        <v/>
      </c>
      <c r="H54" s="341" t="str">
        <f>IF(E54="Choose","",INDEX(Worksheet!$C$76:$C$94,MATCH(Worksheet!$M256,Worksheet!$A$76:$A$94,0)))</f>
        <v/>
      </c>
      <c r="I54" s="342"/>
      <c r="J54" s="343" t="str">
        <f>IF(E54="Choose","",INDEX(Worksheet!$D$76:$D$94,MATCH(Worksheet!$M256,Worksheet!$A$76:$A$94,0)))</f>
        <v/>
      </c>
      <c r="K54" s="344"/>
      <c r="L54" s="343" t="str">
        <f>IF(E54="Choose","",INDEX(Worksheet!$E$76:$E$94,MATCH(Worksheet!$M256,Worksheet!$A$76:$A$94,0)))</f>
        <v/>
      </c>
      <c r="M54" s="344"/>
      <c r="N54" s="343" t="str">
        <f>IF(E54="Choose","",INDEX(Worksheet!$F$76:$F$94,MATCH(Worksheet!$M256,Worksheet!$A$76:$A$94,0)))</f>
        <v/>
      </c>
      <c r="O54" s="344"/>
      <c r="P54" s="214">
        <f ca="1">IF(P26=0,0,IF(E54=Worksheet!A$86,Worksheet!B380,IF(E54=Worksheet!A$87,Worksheet!B380,IF(E54=Worksheet!A$88,Worksheet!B380,ROUND(P26/Worksheet!C$5*Worksheet!C$9*Worksheet!N256+P26/Worksheet!C$5*Worksheet!C$10*Worksheet!O256,0)))))</f>
        <v>0</v>
      </c>
      <c r="Q54" s="214">
        <f ca="1">IF(Q26=0,0,IF(E54=Worksheet!A$86,Worksheet!D380,IF(E54=Worksheet!A$87,Worksheet!D380,IF(E54=Worksheet!A$88,Worksheet!D380,ROUND(Q26/Worksheet!D$5*Worksheet!D$9*Worksheet!P256+Q26/Worksheet!D$5*Worksheet!D$10*Worksheet!Q256,0)))))</f>
        <v>0</v>
      </c>
      <c r="R54" s="214">
        <f ca="1">IF(R26=0,0,IF(E54=Worksheet!A$86,Worksheet!F380,IF(E54=Worksheet!A$87,Worksheet!F380,IF(E54=Worksheet!A$88,Worksheet!F380,ROUND(R26/Worksheet!E$5*Worksheet!E$9*Worksheet!R256+R26/Worksheet!E$5*Worksheet!E$10*Worksheet!S256,0)))))</f>
        <v>0</v>
      </c>
      <c r="S54" s="214">
        <f ca="1">IF(S26=0,0,IF(E54=Worksheet!A$86,Worksheet!H380,IF(E54=Worksheet!A$87,Worksheet!H380,IF(E54=Worksheet!A$88,Worksheet!H380,ROUND(S26/Worksheet!F$5*Worksheet!F$9*Worksheet!T256+S26/Worksheet!F$5*Worksheet!F$10*Worksheet!U256,0)))))</f>
        <v>0</v>
      </c>
      <c r="T54" s="214">
        <f ca="1">IF(T26=0,0,IF(E54=Worksheet!A$86,Worksheet!J380,IF(E54=Worksheet!A$87,Worksheet!J380,IF(E54=Worksheet!A$88,Worksheet!J380,ROUND(T26/Worksheet!G$5*Worksheet!G$9*Worksheet!V256+T26/Worksheet!G$5*Worksheet!G$10*Worksheet!W256,0)))))</f>
        <v>0</v>
      </c>
      <c r="U54" s="156">
        <f t="shared" ca="1" si="4"/>
        <v>0</v>
      </c>
      <c r="V54" s="220"/>
      <c r="W54" s="220"/>
      <c r="X54" s="205"/>
      <c r="Y54" s="205"/>
      <c r="Z54" s="20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95"/>
      <c r="AV54" s="195"/>
      <c r="AW54" s="195"/>
      <c r="AX54" s="195"/>
      <c r="AY54" s="195"/>
      <c r="AZ54" s="195"/>
      <c r="BA54" s="195"/>
    </row>
    <row r="55" spans="1:53" hidden="1" x14ac:dyDescent="0.2">
      <c r="A55" s="78">
        <v>20</v>
      </c>
      <c r="B55" s="356">
        <f t="shared" si="3"/>
        <v>0</v>
      </c>
      <c r="C55" s="356"/>
      <c r="D55" s="357"/>
      <c r="E55" s="339" t="s">
        <v>41</v>
      </c>
      <c r="F55" s="340"/>
      <c r="G55" s="300" t="str">
        <f>IF(E55="Choose","",INDEX(Worksheet!$B$76:$B$94,MATCH(Worksheet!$M257,Worksheet!$A$76:$A$94,0)))</f>
        <v/>
      </c>
      <c r="H55" s="341" t="str">
        <f>IF(E55="Choose","",INDEX(Worksheet!$C$76:$C$94,MATCH(Worksheet!$M257,Worksheet!$A$76:$A$94,0)))</f>
        <v/>
      </c>
      <c r="I55" s="342"/>
      <c r="J55" s="343" t="str">
        <f>IF(E55="Choose","",INDEX(Worksheet!$D$76:$D$94,MATCH(Worksheet!$M257,Worksheet!$A$76:$A$94,0)))</f>
        <v/>
      </c>
      <c r="K55" s="344"/>
      <c r="L55" s="343" t="str">
        <f>IF(E55="Choose","",INDEX(Worksheet!$E$76:$E$94,MATCH(Worksheet!$M257,Worksheet!$A$76:$A$94,0)))</f>
        <v/>
      </c>
      <c r="M55" s="344"/>
      <c r="N55" s="343" t="str">
        <f>IF(E55="Choose","",INDEX(Worksheet!$F$76:$F$94,MATCH(Worksheet!$M257,Worksheet!$A$76:$A$94,0)))</f>
        <v/>
      </c>
      <c r="O55" s="344"/>
      <c r="P55" s="214">
        <f ca="1">IF(P27=0,0,IF(E55=Worksheet!A$86,Worksheet!B381,IF(E55=Worksheet!A$87,Worksheet!B381,IF(E55=Worksheet!A$88,Worksheet!B381,ROUND(P27/Worksheet!C$5*Worksheet!C$9*Worksheet!N257+P27/Worksheet!C$5*Worksheet!C$10*Worksheet!O257,0)))))</f>
        <v>0</v>
      </c>
      <c r="Q55" s="214">
        <f ca="1">IF(Q27=0,0,IF(E55=Worksheet!A$86,Worksheet!D381,IF(E55=Worksheet!A$87,Worksheet!D381,IF(E55=Worksheet!A$88,Worksheet!D381,ROUND(Q27/Worksheet!D$5*Worksheet!D$9*Worksheet!P257+Q27/Worksheet!D$5*Worksheet!D$10*Worksheet!Q257,0)))))</f>
        <v>0</v>
      </c>
      <c r="R55" s="214">
        <f ca="1">IF(R27=0,0,IF(E55=Worksheet!A$86,Worksheet!F381,IF(E55=Worksheet!A$87,Worksheet!F381,IF(E55=Worksheet!A$88,Worksheet!F381,ROUND(R27/Worksheet!E$5*Worksheet!E$9*Worksheet!R257+R27/Worksheet!E$5*Worksheet!E$10*Worksheet!S257,0)))))</f>
        <v>0</v>
      </c>
      <c r="S55" s="214">
        <f ca="1">IF(S27=0,0,IF(E55=Worksheet!A$86,Worksheet!H381,IF(E55=Worksheet!A$87,Worksheet!H381,IF(E55=Worksheet!A$88,Worksheet!H381,ROUND(S27/Worksheet!F$5*Worksheet!F$9*Worksheet!T257+S27/Worksheet!F$5*Worksheet!F$10*Worksheet!U257,0)))))</f>
        <v>0</v>
      </c>
      <c r="T55" s="214">
        <f ca="1">IF(T27=0,0,IF(E55=Worksheet!A$86,Worksheet!J381,IF(E55=Worksheet!A$87,Worksheet!J381,IF(E55=Worksheet!A$88,Worksheet!J381,ROUND(T27/Worksheet!G$5*Worksheet!G$9*Worksheet!V257+T27/Worksheet!G$5*Worksheet!G$10*Worksheet!W257,0)))))</f>
        <v>0</v>
      </c>
      <c r="U55" s="156">
        <f t="shared" ca="1" si="4"/>
        <v>0</v>
      </c>
      <c r="V55" s="220"/>
      <c r="W55" s="220"/>
      <c r="X55" s="205"/>
      <c r="Y55" s="205"/>
      <c r="Z55" s="205"/>
      <c r="AA55" s="195"/>
      <c r="AB55" s="195"/>
      <c r="AC55" s="195"/>
      <c r="AD55" s="195"/>
      <c r="AE55" s="195"/>
      <c r="AF55" s="195"/>
      <c r="AG55" s="195"/>
      <c r="AH55" s="195"/>
      <c r="AI55" s="195"/>
      <c r="AJ55" s="195"/>
      <c r="AK55" s="195"/>
      <c r="AL55" s="195"/>
      <c r="AM55" s="195"/>
      <c r="AN55" s="195"/>
      <c r="AO55" s="195"/>
      <c r="AP55" s="195"/>
      <c r="AQ55" s="195"/>
      <c r="AR55" s="195"/>
      <c r="AS55" s="195"/>
      <c r="AT55" s="195"/>
      <c r="AU55" s="195"/>
      <c r="AV55" s="195"/>
      <c r="AW55" s="195"/>
      <c r="AX55" s="195"/>
      <c r="AY55" s="195"/>
      <c r="AZ55" s="195"/>
      <c r="BA55" s="195"/>
    </row>
    <row r="56" spans="1:53" hidden="1" x14ac:dyDescent="0.2">
      <c r="A56" s="78">
        <v>21</v>
      </c>
      <c r="B56" s="356">
        <f t="shared" si="3"/>
        <v>0</v>
      </c>
      <c r="C56" s="356"/>
      <c r="D56" s="357"/>
      <c r="E56" s="339" t="s">
        <v>41</v>
      </c>
      <c r="F56" s="340"/>
      <c r="G56" s="300" t="str">
        <f>IF(E56="Choose","",INDEX(Worksheet!$B$76:$B$94,MATCH(Worksheet!$M258,Worksheet!$A$76:$A$94,0)))</f>
        <v/>
      </c>
      <c r="H56" s="341" t="str">
        <f>IF(E56="Choose","",INDEX(Worksheet!$C$76:$C$94,MATCH(Worksheet!$M258,Worksheet!$A$76:$A$94,0)))</f>
        <v/>
      </c>
      <c r="I56" s="342"/>
      <c r="J56" s="343" t="str">
        <f>IF(E56="Choose","",INDEX(Worksheet!$D$76:$D$94,MATCH(Worksheet!$M258,Worksheet!$A$76:$A$94,0)))</f>
        <v/>
      </c>
      <c r="K56" s="344"/>
      <c r="L56" s="343" t="str">
        <f>IF(E56="Choose","",INDEX(Worksheet!$E$76:$E$94,MATCH(Worksheet!$M258,Worksheet!$A$76:$A$94,0)))</f>
        <v/>
      </c>
      <c r="M56" s="344"/>
      <c r="N56" s="343" t="str">
        <f>IF(E56="Choose","",INDEX(Worksheet!$F$76:$F$94,MATCH(Worksheet!$M258,Worksheet!$A$76:$A$94,0)))</f>
        <v/>
      </c>
      <c r="O56" s="344"/>
      <c r="P56" s="214">
        <f ca="1">IF(P28=0,0,IF(E56=Worksheet!A$86,Worksheet!B382,IF(E56=Worksheet!A$87,Worksheet!B382,IF(E56=Worksheet!A$88,Worksheet!B382,ROUND(P28/Worksheet!C$5*Worksheet!C$9*Worksheet!N258+P28/Worksheet!C$5*Worksheet!C$10*Worksheet!O258,0)))))</f>
        <v>0</v>
      </c>
      <c r="Q56" s="214">
        <f ca="1">IF(Q28=0,0,IF(E56=Worksheet!A$86,Worksheet!D382,IF(E56=Worksheet!A$87,Worksheet!D382,IF(E56=Worksheet!A$88,Worksheet!D382,ROUND(Q28/Worksheet!D$5*Worksheet!D$9*Worksheet!P258+Q28/Worksheet!D$5*Worksheet!D$10*Worksheet!Q258,0)))))</f>
        <v>0</v>
      </c>
      <c r="R56" s="214">
        <f ca="1">IF(R28=0,0,IF(E56=Worksheet!A$86,Worksheet!F382,IF(E56=Worksheet!A$87,Worksheet!F382,IF(E56=Worksheet!A$88,Worksheet!F382,ROUND(R28/Worksheet!E$5*Worksheet!E$9*Worksheet!R258+R28/Worksheet!E$5*Worksheet!E$10*Worksheet!S258,0)))))</f>
        <v>0</v>
      </c>
      <c r="S56" s="214">
        <f ca="1">IF(S28=0,0,IF(E56=Worksheet!A$86,Worksheet!H382,IF(E56=Worksheet!A$87,Worksheet!H382,IF(E56=Worksheet!A$88,Worksheet!H382,ROUND(S28/Worksheet!F$5*Worksheet!F$9*Worksheet!T258+S28/Worksheet!F$5*Worksheet!F$10*Worksheet!U258,0)))))</f>
        <v>0</v>
      </c>
      <c r="T56" s="214">
        <f ca="1">IF(T28=0,0,IF(E56=Worksheet!A$86,Worksheet!J382,IF(E56=Worksheet!A$87,Worksheet!J382,IF(E56=Worksheet!A$88,Worksheet!J382,ROUND(T28/Worksheet!G$5*Worksheet!G$9*Worksheet!V258+T28/Worksheet!G$5*Worksheet!G$10*Worksheet!W258,0)))))</f>
        <v>0</v>
      </c>
      <c r="U56" s="156">
        <f t="shared" ca="1" si="4"/>
        <v>0</v>
      </c>
      <c r="V56" s="220"/>
      <c r="W56" s="220"/>
      <c r="X56" s="205"/>
      <c r="Y56" s="205"/>
      <c r="Z56" s="205"/>
      <c r="AA56" s="195"/>
      <c r="AB56" s="195"/>
      <c r="AC56" s="195"/>
      <c r="AD56" s="195"/>
      <c r="AE56" s="195"/>
      <c r="AF56" s="195"/>
      <c r="AG56" s="195"/>
      <c r="AH56" s="195"/>
      <c r="AI56" s="195"/>
      <c r="AJ56" s="195"/>
      <c r="AK56" s="195"/>
      <c r="AL56" s="195"/>
      <c r="AM56" s="195"/>
      <c r="AN56" s="195"/>
      <c r="AO56" s="195"/>
      <c r="AP56" s="195"/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</row>
    <row r="57" spans="1:53" hidden="1" x14ac:dyDescent="0.2">
      <c r="A57" s="78">
        <v>22</v>
      </c>
      <c r="B57" s="356">
        <f t="shared" si="3"/>
        <v>0</v>
      </c>
      <c r="C57" s="356"/>
      <c r="D57" s="357"/>
      <c r="E57" s="339" t="s">
        <v>41</v>
      </c>
      <c r="F57" s="340"/>
      <c r="G57" s="300" t="str">
        <f>IF(E57="Choose","",INDEX(Worksheet!$B$76:$B$94,MATCH(Worksheet!$M259,Worksheet!$A$76:$A$94,0)))</f>
        <v/>
      </c>
      <c r="H57" s="341" t="str">
        <f>IF(E57="Choose","",INDEX(Worksheet!$C$76:$C$94,MATCH(Worksheet!$M259,Worksheet!$A$76:$A$94,0)))</f>
        <v/>
      </c>
      <c r="I57" s="342"/>
      <c r="J57" s="343" t="str">
        <f>IF(E57="Choose","",INDEX(Worksheet!$D$76:$D$94,MATCH(Worksheet!$M259,Worksheet!$A$76:$A$94,0)))</f>
        <v/>
      </c>
      <c r="K57" s="344"/>
      <c r="L57" s="343" t="str">
        <f>IF(E57="Choose","",INDEX(Worksheet!$E$76:$E$94,MATCH(Worksheet!$M259,Worksheet!$A$76:$A$94,0)))</f>
        <v/>
      </c>
      <c r="M57" s="344"/>
      <c r="N57" s="343" t="str">
        <f>IF(E57="Choose","",INDEX(Worksheet!$F$76:$F$94,MATCH(Worksheet!$M259,Worksheet!$A$76:$A$94,0)))</f>
        <v/>
      </c>
      <c r="O57" s="344"/>
      <c r="P57" s="214">
        <f ca="1">IF(P29=0,0,IF(E57=Worksheet!A$86,Worksheet!B383,IF(E57=Worksheet!A$87,Worksheet!B383,IF(E57=Worksheet!A$88,Worksheet!B383,ROUND(P29/Worksheet!C$5*Worksheet!C$9*Worksheet!N259+P29/Worksheet!C$5*Worksheet!C$10*Worksheet!O259,0)))))</f>
        <v>0</v>
      </c>
      <c r="Q57" s="214">
        <f ca="1">IF(Q29=0,0,IF(E57=Worksheet!A$86,Worksheet!D383,IF(E57=Worksheet!A$87,Worksheet!D383,IF(E57=Worksheet!A$88,Worksheet!D383,ROUND(Q29/Worksheet!D$5*Worksheet!D$9*Worksheet!P259+Q29/Worksheet!D$5*Worksheet!D$10*Worksheet!Q259,0)))))</f>
        <v>0</v>
      </c>
      <c r="R57" s="214">
        <f ca="1">IF(R29=0,0,IF(E57=Worksheet!A$86,Worksheet!F383,IF(E57=Worksheet!A$87,Worksheet!F383,IF(E57=Worksheet!A$88,Worksheet!F383,ROUND(R29/Worksheet!E$5*Worksheet!E$9*Worksheet!R259+R29/Worksheet!E$5*Worksheet!E$10*Worksheet!S259,0)))))</f>
        <v>0</v>
      </c>
      <c r="S57" s="214">
        <f ca="1">IF(S29=0,0,IF(E57=Worksheet!A$86,Worksheet!H383,IF(E57=Worksheet!A$87,Worksheet!H383,IF(E57=Worksheet!A$88,Worksheet!H383,ROUND(S29/Worksheet!F$5*Worksheet!F$9*Worksheet!T259+S29/Worksheet!F$5*Worksheet!F$10*Worksheet!U259,0)))))</f>
        <v>0</v>
      </c>
      <c r="T57" s="214">
        <f ca="1">IF(T29=0,0,IF(E57=Worksheet!A$86,Worksheet!J383,IF(E57=Worksheet!A$87,Worksheet!J383,IF(E57=Worksheet!A$88,Worksheet!J383,ROUND(T29/Worksheet!G$5*Worksheet!G$9*Worksheet!V259+T29/Worksheet!G$5*Worksheet!G$10*Worksheet!W259,0)))))</f>
        <v>0</v>
      </c>
      <c r="U57" s="156">
        <f t="shared" ca="1" si="4"/>
        <v>0</v>
      </c>
      <c r="V57" s="220"/>
      <c r="W57" s="205"/>
      <c r="X57" s="205"/>
      <c r="Y57" s="205"/>
      <c r="Z57" s="205"/>
      <c r="AA57" s="195"/>
      <c r="AB57" s="195"/>
      <c r="AC57" s="195"/>
      <c r="AD57" s="195"/>
      <c r="AE57" s="195"/>
      <c r="AF57" s="195"/>
      <c r="AG57" s="195"/>
      <c r="AH57" s="195"/>
      <c r="AI57" s="195"/>
      <c r="AJ57" s="195"/>
      <c r="AK57" s="195"/>
      <c r="AL57" s="195"/>
      <c r="AM57" s="195"/>
      <c r="AN57" s="195"/>
      <c r="AO57" s="195"/>
      <c r="AP57" s="195"/>
      <c r="AQ57" s="195"/>
      <c r="AR57" s="195"/>
      <c r="AS57" s="195"/>
      <c r="AT57" s="195"/>
      <c r="AU57" s="195"/>
      <c r="AV57" s="195"/>
      <c r="AW57" s="195"/>
      <c r="AX57" s="195"/>
      <c r="AY57" s="195"/>
      <c r="AZ57" s="195"/>
      <c r="BA57" s="195"/>
    </row>
    <row r="58" spans="1:53" hidden="1" x14ac:dyDescent="0.2">
      <c r="A58" s="78">
        <v>23</v>
      </c>
      <c r="B58" s="356">
        <f t="shared" si="3"/>
        <v>0</v>
      </c>
      <c r="C58" s="356"/>
      <c r="D58" s="357"/>
      <c r="E58" s="339" t="s">
        <v>41</v>
      </c>
      <c r="F58" s="340"/>
      <c r="G58" s="300" t="str">
        <f>IF(E58="Choose","",INDEX(Worksheet!$B$76:$B$94,MATCH(Worksheet!$M260,Worksheet!$A$76:$A$94,0)))</f>
        <v/>
      </c>
      <c r="H58" s="341" t="str">
        <f>IF(E58="Choose","",INDEX(Worksheet!$C$76:$C$94,MATCH(Worksheet!$M260,Worksheet!$A$76:$A$94,0)))</f>
        <v/>
      </c>
      <c r="I58" s="342"/>
      <c r="J58" s="343" t="str">
        <f>IF(E58="Choose","",INDEX(Worksheet!$D$76:$D$94,MATCH(Worksheet!$M260,Worksheet!$A$76:$A$94,0)))</f>
        <v/>
      </c>
      <c r="K58" s="344"/>
      <c r="L58" s="343" t="str">
        <f>IF(E58="Choose","",INDEX(Worksheet!$E$76:$E$94,MATCH(Worksheet!$M260,Worksheet!$A$76:$A$94,0)))</f>
        <v/>
      </c>
      <c r="M58" s="344"/>
      <c r="N58" s="343" t="str">
        <f>IF(E58="Choose","",INDEX(Worksheet!$F$76:$F$94,MATCH(Worksheet!$M260,Worksheet!$A$76:$A$94,0)))</f>
        <v/>
      </c>
      <c r="O58" s="344"/>
      <c r="P58" s="214">
        <f ca="1">IF(P30=0,0,IF(E58=Worksheet!A$86,Worksheet!B384,IF(E58=Worksheet!A$87,Worksheet!B384,IF(E58=Worksheet!A$88,Worksheet!B384,ROUND(P30/Worksheet!C$5*Worksheet!C$9*Worksheet!N260+P30/Worksheet!C$5*Worksheet!C$10*Worksheet!O260,0)))))</f>
        <v>0</v>
      </c>
      <c r="Q58" s="214">
        <f ca="1">IF(Q30=0,0,IF(E58=Worksheet!A$86,Worksheet!D384,IF(E58=Worksheet!A$87,Worksheet!D384,IF(E58=Worksheet!A$88,Worksheet!D384,ROUND(Q30/Worksheet!D$5*Worksheet!D$9*Worksheet!P260+Q30/Worksheet!D$5*Worksheet!D$10*Worksheet!Q260,0)))))</f>
        <v>0</v>
      </c>
      <c r="R58" s="214">
        <f ca="1">IF(R30=0,0,IF(E58=Worksheet!A$86,Worksheet!F384,IF(E58=Worksheet!A$87,Worksheet!F384,IF(E58=Worksheet!A$88,Worksheet!F384,ROUND(R30/Worksheet!E$5*Worksheet!E$9*Worksheet!R260+R30/Worksheet!E$5*Worksheet!E$10*Worksheet!S260,0)))))</f>
        <v>0</v>
      </c>
      <c r="S58" s="214">
        <f ca="1">IF(S30=0,0,IF(E58=Worksheet!A$86,Worksheet!H384,IF(E58=Worksheet!A$87,Worksheet!H384,IF(E58=Worksheet!A$88,Worksheet!H384,ROUND(S30/Worksheet!F$5*Worksheet!F$9*Worksheet!T260+S30/Worksheet!F$5*Worksheet!F$10*Worksheet!U260,0)))))</f>
        <v>0</v>
      </c>
      <c r="T58" s="214">
        <f ca="1">IF(T30=0,0,IF(E58=Worksheet!A$86,Worksheet!J384,IF(E58=Worksheet!A$87,Worksheet!J384,IF(E58=Worksheet!A$88,Worksheet!J384,ROUND(T30/Worksheet!G$5*Worksheet!G$9*Worksheet!V260+T30/Worksheet!G$5*Worksheet!G$10*Worksheet!W260,0)))))</f>
        <v>0</v>
      </c>
      <c r="U58" s="156">
        <f t="shared" ca="1" si="4"/>
        <v>0</v>
      </c>
      <c r="V58" s="220"/>
      <c r="W58" s="205"/>
      <c r="X58" s="205"/>
      <c r="Y58" s="205"/>
      <c r="Z58" s="20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  <c r="AK58" s="195"/>
      <c r="AL58" s="195"/>
      <c r="AM58" s="195"/>
      <c r="AN58" s="195"/>
      <c r="AO58" s="195"/>
      <c r="AP58" s="195"/>
      <c r="AQ58" s="195"/>
      <c r="AR58" s="195"/>
      <c r="AS58" s="195"/>
      <c r="AT58" s="195"/>
      <c r="AU58" s="195"/>
      <c r="AV58" s="195"/>
      <c r="AW58" s="195"/>
      <c r="AX58" s="195"/>
      <c r="AY58" s="195"/>
      <c r="AZ58" s="195"/>
      <c r="BA58" s="195"/>
    </row>
    <row r="59" spans="1:53" hidden="1" x14ac:dyDescent="0.2">
      <c r="A59" s="78">
        <v>24</v>
      </c>
      <c r="B59" s="354">
        <f t="shared" si="3"/>
        <v>0</v>
      </c>
      <c r="C59" s="354"/>
      <c r="D59" s="355"/>
      <c r="E59" s="339" t="s">
        <v>41</v>
      </c>
      <c r="F59" s="340"/>
      <c r="G59" s="300" t="str">
        <f>IF(E59="Choose","",INDEX(Worksheet!$B$76:$B$94,MATCH(Worksheet!$M261,Worksheet!$A$76:$A$94,0)))</f>
        <v/>
      </c>
      <c r="H59" s="341" t="str">
        <f>IF(E59="Choose","",INDEX(Worksheet!$C$76:$C$94,MATCH(Worksheet!$M261,Worksheet!$A$76:$A$94,0)))</f>
        <v/>
      </c>
      <c r="I59" s="342"/>
      <c r="J59" s="343" t="str">
        <f>IF(E59="Choose","",INDEX(Worksheet!$D$76:$D$94,MATCH(Worksheet!$M261,Worksheet!$A$76:$A$94,0)))</f>
        <v/>
      </c>
      <c r="K59" s="344"/>
      <c r="L59" s="343" t="str">
        <f>IF(E59="Choose","",INDEX(Worksheet!$E$76:$E$94,MATCH(Worksheet!$M261,Worksheet!$A$76:$A$94,0)))</f>
        <v/>
      </c>
      <c r="M59" s="344"/>
      <c r="N59" s="343" t="str">
        <f>IF(E59="Choose","",INDEX(Worksheet!$F$76:$F$94,MATCH(Worksheet!$M261,Worksheet!$A$76:$A$94,0)))</f>
        <v/>
      </c>
      <c r="O59" s="344"/>
      <c r="P59" s="214">
        <f ca="1">IF(P31=0,0,IF(E59=Worksheet!A$86,Worksheet!B385,IF(E59=Worksheet!A$87,Worksheet!B385,IF(E59=Worksheet!A$88,Worksheet!B385,ROUND(P31/Worksheet!C$5*Worksheet!C$9*Worksheet!N261+P31/Worksheet!C$5*Worksheet!C$10*Worksheet!O261,0)))))</f>
        <v>0</v>
      </c>
      <c r="Q59" s="214">
        <f ca="1">IF(Q31=0,0,IF(E59=Worksheet!A$86,Worksheet!D385,IF(E59=Worksheet!A$87,Worksheet!D385,IF(E59=Worksheet!A$88,Worksheet!D385,ROUND(Q31/Worksheet!D$5*Worksheet!D$9*Worksheet!P261+Q31/Worksheet!D$5*Worksheet!D$10*Worksheet!Q261,0)))))</f>
        <v>0</v>
      </c>
      <c r="R59" s="214">
        <f ca="1">IF(R31=0,0,IF(E59=Worksheet!A$86,Worksheet!F385,IF(E59=Worksheet!A$87,Worksheet!F385,IF(E59=Worksheet!A$88,Worksheet!F385,ROUND(R31/Worksheet!E$5*Worksheet!E$9*Worksheet!R261+R31/Worksheet!E$5*Worksheet!E$10*Worksheet!S261,0)))))</f>
        <v>0</v>
      </c>
      <c r="S59" s="214">
        <f ca="1">IF(S31=0,0,IF(E59=Worksheet!A$86,Worksheet!H385,IF(E59=Worksheet!A$87,Worksheet!H385,IF(E59=Worksheet!A$88,Worksheet!H385,ROUND(S31/Worksheet!F$5*Worksheet!F$9*Worksheet!T261+S31/Worksheet!F$5*Worksheet!F$10*Worksheet!U261,0)))))</f>
        <v>0</v>
      </c>
      <c r="T59" s="214">
        <f ca="1">IF(T31=0,0,IF(E59=Worksheet!A$86,Worksheet!J385,IF(E59=Worksheet!A$87,Worksheet!J385,IF(E59=Worksheet!A$88,Worksheet!J385,ROUND(T31/Worksheet!G$5*Worksheet!G$9*Worksheet!V261+T31/Worksheet!G$5*Worksheet!G$10*Worksheet!W261,0)))))</f>
        <v>0</v>
      </c>
      <c r="U59" s="156">
        <f t="shared" ca="1" si="4"/>
        <v>0</v>
      </c>
      <c r="V59" s="220"/>
      <c r="W59" s="205"/>
      <c r="X59" s="205"/>
      <c r="Y59" s="205"/>
      <c r="Z59" s="20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</row>
    <row r="60" spans="1:53" x14ac:dyDescent="0.2">
      <c r="A60" s="351" t="s">
        <v>5</v>
      </c>
      <c r="B60" s="352"/>
      <c r="C60" s="352"/>
      <c r="D60" s="352"/>
      <c r="E60" s="352"/>
      <c r="F60" s="352"/>
      <c r="G60" s="352"/>
      <c r="H60" s="352"/>
      <c r="I60" s="352"/>
      <c r="J60" s="352"/>
      <c r="K60" s="352"/>
      <c r="L60" s="352"/>
      <c r="M60" s="352"/>
      <c r="N60" s="352"/>
      <c r="O60" s="353"/>
      <c r="P60" s="166">
        <f ca="1">ROUND(SUM(P36:P59),0)</f>
        <v>10882</v>
      </c>
      <c r="Q60" s="166">
        <f ca="1">SUM(Q36:Q59)</f>
        <v>11555</v>
      </c>
      <c r="R60" s="166">
        <f ca="1">SUM(R36:R59)</f>
        <v>12259</v>
      </c>
      <c r="S60" s="166">
        <f ca="1">SUM(S36:S59)</f>
        <v>0</v>
      </c>
      <c r="T60" s="166">
        <f ca="1">SUM(T36:T59)</f>
        <v>0</v>
      </c>
      <c r="U60" s="166">
        <f ca="1">SUM(U36:U59)</f>
        <v>34696</v>
      </c>
      <c r="V60" s="220"/>
      <c r="W60" s="206"/>
      <c r="X60" s="206"/>
      <c r="Y60" s="206"/>
      <c r="Z60" s="206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  <c r="AK60" s="195"/>
      <c r="AL60" s="195"/>
      <c r="AM60" s="195"/>
      <c r="AN60" s="195"/>
      <c r="AO60" s="195"/>
      <c r="AP60" s="195"/>
      <c r="AQ60" s="195"/>
      <c r="AR60" s="195"/>
      <c r="AS60" s="195"/>
      <c r="AT60" s="195"/>
      <c r="AU60" s="195"/>
      <c r="AV60" s="195"/>
      <c r="AW60" s="195"/>
      <c r="AX60" s="195"/>
      <c r="AY60" s="195"/>
      <c r="AZ60" s="195"/>
      <c r="BA60" s="195"/>
    </row>
    <row r="61" spans="1:53" x14ac:dyDescent="0.2">
      <c r="A61" s="463" t="s">
        <v>16</v>
      </c>
      <c r="B61" s="464"/>
      <c r="C61" s="464"/>
      <c r="D61" s="464"/>
      <c r="E61" s="464"/>
      <c r="F61" s="464"/>
      <c r="G61" s="464"/>
      <c r="H61" s="464"/>
      <c r="I61" s="464"/>
      <c r="J61" s="464"/>
      <c r="K61" s="464"/>
      <c r="L61" s="464"/>
      <c r="M61" s="464"/>
      <c r="N61" s="464"/>
      <c r="O61" s="465"/>
      <c r="P61" s="167">
        <f t="shared" ref="P61:U61" ca="1" si="5">P32+P60</f>
        <v>42295</v>
      </c>
      <c r="Q61" s="167">
        <f t="shared" ca="1" si="5"/>
        <v>43910</v>
      </c>
      <c r="R61" s="167">
        <f t="shared" ca="1" si="5"/>
        <v>45585</v>
      </c>
      <c r="S61" s="167">
        <f t="shared" ca="1" si="5"/>
        <v>0</v>
      </c>
      <c r="T61" s="167">
        <f t="shared" ca="1" si="5"/>
        <v>0</v>
      </c>
      <c r="U61" s="167">
        <f t="shared" ca="1" si="5"/>
        <v>131790</v>
      </c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195"/>
      <c r="AP61" s="195"/>
      <c r="AQ61" s="195"/>
      <c r="AR61" s="195"/>
      <c r="AS61" s="195"/>
      <c r="AT61" s="195"/>
      <c r="AU61" s="195"/>
      <c r="AV61" s="195"/>
      <c r="AW61" s="195"/>
      <c r="AX61" s="195"/>
      <c r="AY61" s="195"/>
      <c r="AZ61" s="195"/>
      <c r="BA61" s="195"/>
    </row>
    <row r="62" spans="1:53" x14ac:dyDescent="0.2"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5"/>
      <c r="AK62" s="195"/>
      <c r="AL62" s="195"/>
      <c r="AM62" s="195"/>
      <c r="AN62" s="195"/>
      <c r="AO62" s="195"/>
      <c r="AP62" s="195"/>
      <c r="AQ62" s="195"/>
      <c r="AR62" s="195"/>
      <c r="AS62" s="195"/>
      <c r="AT62" s="195"/>
      <c r="AU62" s="195"/>
      <c r="AV62" s="195"/>
      <c r="AW62" s="195"/>
      <c r="AX62" s="195"/>
      <c r="AY62" s="195"/>
      <c r="AZ62" s="195"/>
      <c r="BA62" s="195"/>
    </row>
    <row r="63" spans="1:53" x14ac:dyDescent="0.2">
      <c r="A63" s="461" t="s">
        <v>216</v>
      </c>
      <c r="B63" s="462"/>
      <c r="C63" s="462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86"/>
      <c r="Q63" s="86"/>
      <c r="R63" s="86"/>
      <c r="S63" s="86"/>
      <c r="T63" s="86"/>
      <c r="U63" s="86" t="str">
        <f>U35</f>
        <v>Total</v>
      </c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5"/>
      <c r="AU63" s="195"/>
      <c r="AV63" s="195"/>
      <c r="AW63" s="195"/>
      <c r="AX63" s="195"/>
      <c r="AY63" s="195"/>
      <c r="AZ63" s="195"/>
      <c r="BA63" s="195"/>
    </row>
    <row r="64" spans="1:53" x14ac:dyDescent="0.2">
      <c r="A64" s="189"/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9"/>
      <c r="Q64" s="169"/>
      <c r="R64" s="169"/>
      <c r="S64" s="169"/>
      <c r="T64" s="169"/>
      <c r="U64" s="74">
        <f>SUM(P64:T64)</f>
        <v>0</v>
      </c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</row>
    <row r="65" spans="1:53" x14ac:dyDescent="0.2">
      <c r="A65" s="189"/>
      <c r="B65" s="168"/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9"/>
      <c r="Q65" s="169"/>
      <c r="R65" s="169"/>
      <c r="S65" s="169"/>
      <c r="T65" s="169"/>
      <c r="U65" s="74">
        <f t="shared" ref="U65:U72" si="6">SUM(P65:T65)</f>
        <v>0</v>
      </c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</row>
    <row r="66" spans="1:53" x14ac:dyDescent="0.2">
      <c r="A66" s="189"/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9"/>
      <c r="Q66" s="169"/>
      <c r="R66" s="169"/>
      <c r="S66" s="169"/>
      <c r="T66" s="169"/>
      <c r="U66" s="74">
        <f t="shared" si="6"/>
        <v>0</v>
      </c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95"/>
      <c r="AV66" s="195"/>
      <c r="AW66" s="195"/>
      <c r="AX66" s="195"/>
      <c r="AY66" s="195"/>
      <c r="AZ66" s="195"/>
      <c r="BA66" s="195"/>
    </row>
    <row r="67" spans="1:53" x14ac:dyDescent="0.2">
      <c r="A67" s="189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9"/>
      <c r="Q67" s="169"/>
      <c r="R67" s="169"/>
      <c r="S67" s="169"/>
      <c r="T67" s="169"/>
      <c r="U67" s="74">
        <f t="shared" si="6"/>
        <v>0</v>
      </c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95"/>
      <c r="AV67" s="195"/>
      <c r="AW67" s="195"/>
      <c r="AX67" s="195"/>
      <c r="AY67" s="195"/>
      <c r="AZ67" s="195"/>
      <c r="BA67" s="195"/>
    </row>
    <row r="68" spans="1:53" x14ac:dyDescent="0.2">
      <c r="A68" s="189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9"/>
      <c r="Q68" s="169"/>
      <c r="R68" s="169"/>
      <c r="S68" s="169"/>
      <c r="T68" s="169"/>
      <c r="U68" s="74">
        <f t="shared" si="6"/>
        <v>0</v>
      </c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95"/>
      <c r="AV68" s="195"/>
      <c r="AW68" s="195"/>
      <c r="AX68" s="195"/>
      <c r="AY68" s="195"/>
      <c r="AZ68" s="195"/>
      <c r="BA68" s="195"/>
    </row>
    <row r="69" spans="1:53" hidden="1" x14ac:dyDescent="0.2">
      <c r="A69" s="189"/>
      <c r="B69" s="168"/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9"/>
      <c r="Q69" s="169"/>
      <c r="R69" s="169"/>
      <c r="S69" s="169"/>
      <c r="T69" s="169"/>
      <c r="U69" s="74">
        <f t="shared" si="6"/>
        <v>0</v>
      </c>
      <c r="V69" s="195"/>
      <c r="W69" s="195"/>
      <c r="X69" s="195"/>
      <c r="Y69" s="195"/>
      <c r="Z69" s="195"/>
      <c r="AA69" s="195"/>
      <c r="AB69" s="195"/>
      <c r="AC69" s="195"/>
      <c r="AD69" s="195"/>
      <c r="AE69" s="195"/>
      <c r="AF69" s="195"/>
      <c r="AG69" s="195"/>
      <c r="AH69" s="195"/>
      <c r="AI69" s="195"/>
      <c r="AJ69" s="195"/>
      <c r="AK69" s="195"/>
      <c r="AL69" s="195"/>
      <c r="AM69" s="195"/>
      <c r="AN69" s="195"/>
      <c r="AO69" s="195"/>
      <c r="AP69" s="195"/>
      <c r="AQ69" s="195"/>
      <c r="AR69" s="195"/>
      <c r="AS69" s="195"/>
      <c r="AT69" s="195"/>
      <c r="AU69" s="195"/>
      <c r="AV69" s="195"/>
      <c r="AW69" s="195"/>
      <c r="AX69" s="195"/>
      <c r="AY69" s="195"/>
      <c r="AZ69" s="195"/>
      <c r="BA69" s="195"/>
    </row>
    <row r="70" spans="1:53" hidden="1" x14ac:dyDescent="0.2">
      <c r="A70" s="189"/>
      <c r="B70" s="168"/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9"/>
      <c r="Q70" s="169"/>
      <c r="R70" s="169"/>
      <c r="S70" s="169"/>
      <c r="T70" s="169"/>
      <c r="U70" s="74">
        <f t="shared" si="6"/>
        <v>0</v>
      </c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95"/>
      <c r="AV70" s="195"/>
      <c r="AW70" s="195"/>
      <c r="AX70" s="195"/>
      <c r="AY70" s="195"/>
      <c r="AZ70" s="195"/>
      <c r="BA70" s="195"/>
    </row>
    <row r="71" spans="1:53" hidden="1" x14ac:dyDescent="0.2">
      <c r="A71" s="189"/>
      <c r="B71" s="168"/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9"/>
      <c r="Q71" s="169"/>
      <c r="R71" s="169"/>
      <c r="S71" s="169"/>
      <c r="T71" s="169"/>
      <c r="U71" s="74">
        <f t="shared" si="6"/>
        <v>0</v>
      </c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  <c r="AW71" s="195"/>
      <c r="AX71" s="195"/>
      <c r="AY71" s="195"/>
      <c r="AZ71" s="195"/>
      <c r="BA71" s="195"/>
    </row>
    <row r="72" spans="1:53" hidden="1" x14ac:dyDescent="0.2">
      <c r="A72" s="189"/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9"/>
      <c r="Q72" s="169"/>
      <c r="R72" s="169"/>
      <c r="S72" s="169"/>
      <c r="T72" s="169"/>
      <c r="U72" s="74">
        <f t="shared" si="6"/>
        <v>0</v>
      </c>
      <c r="V72" s="195"/>
      <c r="W72" s="195"/>
      <c r="X72" s="195"/>
      <c r="Y72" s="195"/>
      <c r="Z72" s="195"/>
      <c r="AA72" s="195"/>
      <c r="AB72" s="195"/>
      <c r="AC72" s="195"/>
      <c r="AD72" s="195"/>
      <c r="AE72" s="195"/>
      <c r="AF72" s="195"/>
      <c r="AG72" s="195"/>
      <c r="AH72" s="195"/>
      <c r="AI72" s="195"/>
      <c r="AJ72" s="195"/>
      <c r="AK72" s="195"/>
      <c r="AL72" s="195"/>
      <c r="AM72" s="195"/>
      <c r="AN72" s="195"/>
      <c r="AO72" s="195"/>
      <c r="AP72" s="195"/>
      <c r="AQ72" s="195"/>
      <c r="AR72" s="195"/>
      <c r="AS72" s="195"/>
      <c r="AT72" s="195"/>
      <c r="AU72" s="195"/>
      <c r="AV72" s="195"/>
      <c r="AW72" s="195"/>
      <c r="AX72" s="195"/>
      <c r="AY72" s="195"/>
      <c r="AZ72" s="195"/>
      <c r="BA72" s="195"/>
    </row>
    <row r="73" spans="1:53" x14ac:dyDescent="0.2">
      <c r="A73" s="401" t="s">
        <v>132</v>
      </c>
      <c r="B73" s="402"/>
      <c r="C73" s="40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3">
        <f t="shared" ref="P73:U73" si="7">SUM(P64:P72)</f>
        <v>0</v>
      </c>
      <c r="Q73" s="123">
        <f t="shared" si="7"/>
        <v>0</v>
      </c>
      <c r="R73" s="123">
        <f t="shared" si="7"/>
        <v>0</v>
      </c>
      <c r="S73" s="123">
        <f t="shared" si="7"/>
        <v>0</v>
      </c>
      <c r="T73" s="123">
        <f t="shared" si="7"/>
        <v>0</v>
      </c>
      <c r="U73" s="123">
        <f t="shared" si="7"/>
        <v>0</v>
      </c>
      <c r="V73" s="207"/>
      <c r="W73" s="195"/>
      <c r="X73" s="195"/>
      <c r="Y73" s="195"/>
      <c r="Z73" s="195"/>
      <c r="AA73" s="195"/>
      <c r="AB73" s="195"/>
      <c r="AC73" s="195"/>
      <c r="AD73" s="195"/>
      <c r="AE73" s="195"/>
      <c r="AF73" s="195"/>
      <c r="AG73" s="195"/>
      <c r="AH73" s="195"/>
      <c r="AI73" s="195"/>
      <c r="AJ73" s="195"/>
      <c r="AK73" s="195"/>
      <c r="AL73" s="195"/>
      <c r="AM73" s="195"/>
      <c r="AN73" s="195"/>
      <c r="AO73" s="195"/>
      <c r="AP73" s="195"/>
      <c r="AQ73" s="195"/>
      <c r="AR73" s="195"/>
      <c r="AS73" s="195"/>
      <c r="AT73" s="195"/>
      <c r="AU73" s="195"/>
      <c r="AV73" s="195"/>
      <c r="AW73" s="195"/>
      <c r="AX73" s="195"/>
      <c r="AY73" s="195"/>
      <c r="AZ73" s="195"/>
      <c r="BA73" s="195"/>
    </row>
    <row r="74" spans="1:53" x14ac:dyDescent="0.2">
      <c r="A74" s="228"/>
      <c r="B74" s="52"/>
      <c r="C74" s="52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195"/>
      <c r="AJ74" s="195"/>
      <c r="AK74" s="195"/>
      <c r="AL74" s="195"/>
      <c r="AM74" s="195"/>
      <c r="AN74" s="195"/>
      <c r="AO74" s="195"/>
      <c r="AP74" s="195"/>
      <c r="AQ74" s="195"/>
      <c r="AR74" s="195"/>
      <c r="AS74" s="195"/>
      <c r="AT74" s="195"/>
      <c r="AU74" s="195"/>
      <c r="AV74" s="195"/>
      <c r="AW74" s="195"/>
      <c r="AX74" s="195"/>
      <c r="AY74" s="195"/>
      <c r="AZ74" s="195"/>
      <c r="BA74" s="195"/>
    </row>
    <row r="75" spans="1:53" x14ac:dyDescent="0.2">
      <c r="A75" s="461" t="s">
        <v>217</v>
      </c>
      <c r="B75" s="462"/>
      <c r="C75" s="462"/>
      <c r="D75" s="48"/>
      <c r="E75" s="48"/>
      <c r="F75" s="48"/>
      <c r="G75" s="48"/>
      <c r="H75" s="48"/>
      <c r="I75" s="48"/>
      <c r="J75" s="48"/>
      <c r="K75" s="48"/>
      <c r="L75" s="48"/>
      <c r="M75" s="448" t="s">
        <v>119</v>
      </c>
      <c r="N75" s="448"/>
      <c r="O75" s="449"/>
      <c r="P75" s="86" t="s">
        <v>113</v>
      </c>
      <c r="Q75" s="86" t="s">
        <v>114</v>
      </c>
      <c r="R75" s="86" t="s">
        <v>115</v>
      </c>
      <c r="S75" s="86" t="s">
        <v>118</v>
      </c>
      <c r="T75" s="86" t="s">
        <v>116</v>
      </c>
      <c r="U75" s="86" t="str">
        <f>U63</f>
        <v>Total</v>
      </c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  <c r="AI75" s="195"/>
      <c r="AJ75" s="195"/>
      <c r="AK75" s="195"/>
      <c r="AL75" s="195"/>
      <c r="AM75" s="195"/>
      <c r="AN75" s="195"/>
      <c r="AO75" s="195"/>
      <c r="AP75" s="195"/>
      <c r="AQ75" s="195"/>
      <c r="AR75" s="195"/>
      <c r="AS75" s="195"/>
      <c r="AT75" s="195"/>
      <c r="AU75" s="195"/>
      <c r="AV75" s="195"/>
      <c r="AW75" s="195"/>
      <c r="AX75" s="195"/>
      <c r="AY75" s="195"/>
      <c r="AZ75" s="195"/>
      <c r="BA75" s="195"/>
    </row>
    <row r="76" spans="1:53" x14ac:dyDescent="0.2">
      <c r="A76" s="189"/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59" t="s">
        <v>167</v>
      </c>
      <c r="P76" s="169"/>
      <c r="Q76" s="169"/>
      <c r="R76" s="169"/>
      <c r="S76" s="169"/>
      <c r="T76" s="169"/>
      <c r="U76" s="73">
        <f>SUM(P76:T76)</f>
        <v>0</v>
      </c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5"/>
      <c r="AM76" s="195"/>
      <c r="AN76" s="195"/>
      <c r="AO76" s="195"/>
      <c r="AP76" s="195"/>
      <c r="AQ76" s="195"/>
      <c r="AR76" s="195"/>
      <c r="AS76" s="195"/>
      <c r="AT76" s="195"/>
      <c r="AU76" s="195"/>
      <c r="AV76" s="195"/>
      <c r="AW76" s="195"/>
      <c r="AX76" s="195"/>
      <c r="AY76" s="195"/>
      <c r="AZ76" s="195"/>
      <c r="BA76" s="195"/>
    </row>
    <row r="77" spans="1:53" x14ac:dyDescent="0.2">
      <c r="A77" s="189"/>
      <c r="B77" s="168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59" t="s">
        <v>167</v>
      </c>
      <c r="P77" s="169"/>
      <c r="Q77" s="169"/>
      <c r="R77" s="169"/>
      <c r="S77" s="169"/>
      <c r="T77" s="169"/>
      <c r="U77" s="73">
        <f t="shared" ref="U77:U85" si="8">SUM(P77:T77)</f>
        <v>0</v>
      </c>
      <c r="V77" s="195"/>
      <c r="W77" s="195"/>
      <c r="X77" s="195"/>
      <c r="Y77" s="195"/>
      <c r="Z77" s="195"/>
      <c r="AA77" s="195"/>
      <c r="AB77" s="195"/>
      <c r="AC77" s="195"/>
      <c r="AD77" s="195"/>
      <c r="AE77" s="195"/>
      <c r="AF77" s="195"/>
      <c r="AG77" s="195"/>
      <c r="AH77" s="195"/>
      <c r="AI77" s="195"/>
      <c r="AJ77" s="195"/>
      <c r="AK77" s="195"/>
      <c r="AL77" s="195"/>
      <c r="AM77" s="195"/>
      <c r="AN77" s="195"/>
      <c r="AO77" s="195"/>
      <c r="AP77" s="195"/>
      <c r="AQ77" s="195"/>
      <c r="AR77" s="195"/>
      <c r="AS77" s="195"/>
      <c r="AT77" s="195"/>
      <c r="AU77" s="195"/>
      <c r="AV77" s="195"/>
      <c r="AW77" s="195"/>
      <c r="AX77" s="195"/>
      <c r="AY77" s="195"/>
      <c r="AZ77" s="195"/>
      <c r="BA77" s="195"/>
    </row>
    <row r="78" spans="1:53" x14ac:dyDescent="0.2">
      <c r="A78" s="189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59" t="s">
        <v>167</v>
      </c>
      <c r="P78" s="169"/>
      <c r="Q78" s="169"/>
      <c r="R78" s="169"/>
      <c r="S78" s="169"/>
      <c r="T78" s="169"/>
      <c r="U78" s="73">
        <f t="shared" si="8"/>
        <v>0</v>
      </c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195"/>
      <c r="AV78" s="195"/>
      <c r="AW78" s="195"/>
      <c r="AX78" s="195"/>
      <c r="AY78" s="195"/>
      <c r="AZ78" s="195"/>
      <c r="BA78" s="195"/>
    </row>
    <row r="79" spans="1:53" x14ac:dyDescent="0.2">
      <c r="A79" s="189"/>
      <c r="B79" s="168"/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59" t="s">
        <v>167</v>
      </c>
      <c r="P79" s="169"/>
      <c r="Q79" s="169"/>
      <c r="R79" s="169"/>
      <c r="S79" s="169"/>
      <c r="T79" s="169"/>
      <c r="U79" s="73">
        <f t="shared" si="8"/>
        <v>0</v>
      </c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195"/>
      <c r="AV79" s="195"/>
      <c r="AW79" s="195"/>
      <c r="AX79" s="195"/>
      <c r="AY79" s="195"/>
      <c r="AZ79" s="195"/>
      <c r="BA79" s="195"/>
    </row>
    <row r="80" spans="1:53" x14ac:dyDescent="0.2">
      <c r="A80" s="189"/>
      <c r="B80" s="168"/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59" t="s">
        <v>167</v>
      </c>
      <c r="P80" s="169"/>
      <c r="Q80" s="169"/>
      <c r="R80" s="169"/>
      <c r="S80" s="169"/>
      <c r="T80" s="169"/>
      <c r="U80" s="73">
        <f t="shared" si="8"/>
        <v>0</v>
      </c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195"/>
      <c r="AV80" s="195"/>
      <c r="AW80" s="195"/>
      <c r="AX80" s="195"/>
      <c r="AY80" s="195"/>
      <c r="AZ80" s="195"/>
      <c r="BA80" s="195"/>
    </row>
    <row r="81" spans="1:53" x14ac:dyDescent="0.2">
      <c r="A81" s="189"/>
      <c r="B81" s="168"/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59" t="s">
        <v>167</v>
      </c>
      <c r="P81" s="169"/>
      <c r="Q81" s="169"/>
      <c r="R81" s="169"/>
      <c r="S81" s="169"/>
      <c r="T81" s="169"/>
      <c r="U81" s="73">
        <f t="shared" si="8"/>
        <v>0</v>
      </c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195"/>
      <c r="AV81" s="195"/>
      <c r="AW81" s="195"/>
      <c r="AX81" s="195"/>
      <c r="AY81" s="195"/>
      <c r="AZ81" s="195"/>
      <c r="BA81" s="195"/>
    </row>
    <row r="82" spans="1:53" x14ac:dyDescent="0.2">
      <c r="A82" s="189"/>
      <c r="B82" s="168"/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59" t="s">
        <v>167</v>
      </c>
      <c r="P82" s="169"/>
      <c r="Q82" s="169"/>
      <c r="R82" s="169"/>
      <c r="S82" s="169"/>
      <c r="T82" s="169"/>
      <c r="U82" s="73">
        <f t="shared" si="8"/>
        <v>0</v>
      </c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195"/>
      <c r="AV82" s="195"/>
      <c r="AW82" s="195"/>
      <c r="AX82" s="195"/>
      <c r="AY82" s="195"/>
      <c r="AZ82" s="195"/>
      <c r="BA82" s="195"/>
    </row>
    <row r="83" spans="1:53" x14ac:dyDescent="0.2">
      <c r="A83" s="189"/>
      <c r="B83" s="168"/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59" t="s">
        <v>167</v>
      </c>
      <c r="P83" s="169"/>
      <c r="Q83" s="169"/>
      <c r="R83" s="169"/>
      <c r="S83" s="169"/>
      <c r="T83" s="169"/>
      <c r="U83" s="73">
        <f t="shared" si="8"/>
        <v>0</v>
      </c>
      <c r="V83" s="195"/>
      <c r="W83" s="195"/>
      <c r="X83" s="195"/>
      <c r="Y83" s="195"/>
      <c r="Z83" s="195"/>
      <c r="AA83" s="195"/>
      <c r="AB83" s="195"/>
      <c r="AC83" s="195"/>
      <c r="AD83" s="195"/>
      <c r="AE83" s="195"/>
      <c r="AF83" s="195"/>
      <c r="AG83" s="195"/>
      <c r="AH83" s="195"/>
      <c r="AI83" s="195"/>
      <c r="AJ83" s="195"/>
      <c r="AK83" s="195"/>
      <c r="AL83" s="195"/>
      <c r="AM83" s="195"/>
      <c r="AN83" s="195"/>
      <c r="AO83" s="195"/>
      <c r="AP83" s="195"/>
      <c r="AQ83" s="195"/>
      <c r="AR83" s="195"/>
      <c r="AS83" s="195"/>
      <c r="AT83" s="195"/>
      <c r="AU83" s="195"/>
      <c r="AV83" s="195"/>
      <c r="AW83" s="195"/>
      <c r="AX83" s="195"/>
      <c r="AY83" s="195"/>
      <c r="AZ83" s="195"/>
      <c r="BA83" s="195"/>
    </row>
    <row r="84" spans="1:53" x14ac:dyDescent="0.2">
      <c r="A84" s="418" t="s">
        <v>165</v>
      </c>
      <c r="B84" s="419"/>
      <c r="C84" s="419"/>
      <c r="D84" s="419"/>
      <c r="E84" s="419"/>
      <c r="F84" s="419"/>
      <c r="G84" s="419"/>
      <c r="H84" s="419"/>
      <c r="I84" s="419"/>
      <c r="J84" s="419"/>
      <c r="K84" s="419"/>
      <c r="L84" s="419"/>
      <c r="M84" s="419"/>
      <c r="N84" s="419"/>
      <c r="O84" s="420"/>
      <c r="P84" s="124">
        <f>SUMIF($O$76:$O$83,"No",P76:P83)</f>
        <v>0</v>
      </c>
      <c r="Q84" s="124">
        <f>SUMIF($O$76:$O$83,"No",Q76:Q83)</f>
        <v>0</v>
      </c>
      <c r="R84" s="124">
        <f>SUMIF($O$76:$O$83,"No",R76:R83)</f>
        <v>0</v>
      </c>
      <c r="S84" s="124">
        <f>SUMIF($O$76:$O$83,"No",S76:S83)</f>
        <v>0</v>
      </c>
      <c r="T84" s="124">
        <f>SUMIF($O$76:$O$83,"No",T76:T83)</f>
        <v>0</v>
      </c>
      <c r="U84" s="124">
        <f t="shared" si="8"/>
        <v>0</v>
      </c>
      <c r="V84" s="195"/>
      <c r="W84" s="195"/>
      <c r="X84" s="195"/>
      <c r="Y84" s="195"/>
      <c r="Z84" s="195"/>
      <c r="AA84" s="195"/>
      <c r="AB84" s="195"/>
      <c r="AC84" s="195"/>
      <c r="AD84" s="195"/>
      <c r="AE84" s="195"/>
      <c r="AF84" s="195"/>
      <c r="AG84" s="195"/>
      <c r="AH84" s="195"/>
      <c r="AI84" s="195"/>
      <c r="AJ84" s="195"/>
      <c r="AK84" s="195"/>
      <c r="AL84" s="195"/>
      <c r="AM84" s="195"/>
      <c r="AN84" s="195"/>
      <c r="AO84" s="195"/>
      <c r="AP84" s="195"/>
      <c r="AQ84" s="195"/>
      <c r="AR84" s="195"/>
      <c r="AS84" s="195"/>
      <c r="AT84" s="195"/>
      <c r="AU84" s="195"/>
      <c r="AV84" s="195"/>
      <c r="AW84" s="195"/>
      <c r="AX84" s="195"/>
      <c r="AY84" s="195"/>
      <c r="AZ84" s="195"/>
      <c r="BA84" s="195"/>
    </row>
    <row r="85" spans="1:53" x14ac:dyDescent="0.2">
      <c r="A85" s="415" t="s">
        <v>166</v>
      </c>
      <c r="B85" s="416"/>
      <c r="C85" s="416"/>
      <c r="D85" s="416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417"/>
      <c r="P85" s="125">
        <f>SUMIF($O$76:$O$83,"Yes",P76:P83)</f>
        <v>0</v>
      </c>
      <c r="Q85" s="125">
        <f>SUMIF($O$76:$O$83,"Yes",Q76:Q83)</f>
        <v>0</v>
      </c>
      <c r="R85" s="125">
        <f>SUMIF($O$76:$O$83,"Yes",R76:R83)</f>
        <v>0</v>
      </c>
      <c r="S85" s="125">
        <f>SUMIF($O$76:$O$83,"Yes",S76:S83)</f>
        <v>0</v>
      </c>
      <c r="T85" s="125">
        <f>SUMIF($O$76:$O$83,"Yes",T76:T83)</f>
        <v>0</v>
      </c>
      <c r="U85" s="125">
        <f t="shared" si="8"/>
        <v>0</v>
      </c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K85" s="195"/>
      <c r="AL85" s="195"/>
      <c r="AM85" s="195"/>
      <c r="AN85" s="195"/>
      <c r="AO85" s="195"/>
      <c r="AP85" s="195"/>
      <c r="AQ85" s="195"/>
      <c r="AR85" s="195"/>
      <c r="AS85" s="195"/>
      <c r="AT85" s="195"/>
      <c r="AU85" s="195"/>
      <c r="AV85" s="195"/>
      <c r="AW85" s="195"/>
      <c r="AX85" s="195"/>
      <c r="AY85" s="195"/>
      <c r="AZ85" s="195"/>
      <c r="BA85" s="195"/>
    </row>
    <row r="86" spans="1:53" x14ac:dyDescent="0.2">
      <c r="A86" s="461" t="s">
        <v>54</v>
      </c>
      <c r="B86" s="462"/>
      <c r="C86" s="462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76">
        <f t="shared" ref="P86:U86" si="9">SUM(P76:P83)</f>
        <v>0</v>
      </c>
      <c r="Q86" s="76">
        <f t="shared" si="9"/>
        <v>0</v>
      </c>
      <c r="R86" s="76">
        <f t="shared" si="9"/>
        <v>0</v>
      </c>
      <c r="S86" s="76">
        <f t="shared" si="9"/>
        <v>0</v>
      </c>
      <c r="T86" s="76">
        <f t="shared" si="9"/>
        <v>0</v>
      </c>
      <c r="U86" s="76">
        <f t="shared" si="9"/>
        <v>0</v>
      </c>
      <c r="V86" s="195"/>
      <c r="W86" s="195"/>
      <c r="X86" s="195"/>
      <c r="Y86" s="195"/>
      <c r="Z86" s="195"/>
      <c r="AA86" s="195"/>
      <c r="AB86" s="195"/>
      <c r="AC86" s="195"/>
      <c r="AD86" s="195"/>
      <c r="AE86" s="195"/>
      <c r="AF86" s="195"/>
      <c r="AG86" s="195"/>
      <c r="AH86" s="195"/>
      <c r="AI86" s="195"/>
      <c r="AJ86" s="195"/>
      <c r="AK86" s="195"/>
      <c r="AL86" s="195"/>
      <c r="AM86" s="195"/>
      <c r="AN86" s="195"/>
      <c r="AO86" s="195"/>
      <c r="AP86" s="195"/>
      <c r="AQ86" s="195"/>
      <c r="AR86" s="195"/>
      <c r="AS86" s="195"/>
      <c r="AT86" s="195"/>
      <c r="AU86" s="195"/>
      <c r="AV86" s="195"/>
      <c r="AW86" s="195"/>
      <c r="AX86" s="195"/>
      <c r="AY86" s="195"/>
      <c r="AZ86" s="195"/>
      <c r="BA86" s="195"/>
    </row>
    <row r="87" spans="1:53" x14ac:dyDescent="0.2">
      <c r="V87" s="195"/>
      <c r="W87" s="195"/>
      <c r="X87" s="195"/>
      <c r="Y87" s="195"/>
      <c r="Z87" s="195"/>
      <c r="AA87" s="195"/>
      <c r="AB87" s="195"/>
      <c r="AC87" s="195"/>
      <c r="AD87" s="195"/>
      <c r="AE87" s="195"/>
      <c r="AF87" s="195"/>
      <c r="AG87" s="195"/>
      <c r="AH87" s="195"/>
      <c r="AI87" s="195"/>
      <c r="AJ87" s="195"/>
      <c r="AK87" s="195"/>
      <c r="AL87" s="195"/>
      <c r="AM87" s="195"/>
      <c r="AN87" s="195"/>
      <c r="AO87" s="195"/>
      <c r="AP87" s="195"/>
      <c r="AQ87" s="195"/>
      <c r="AR87" s="195"/>
      <c r="AS87" s="195"/>
      <c r="AT87" s="195"/>
      <c r="AU87" s="195"/>
      <c r="AV87" s="195"/>
      <c r="AW87" s="195"/>
      <c r="AX87" s="195"/>
      <c r="AY87" s="195"/>
      <c r="AZ87" s="195"/>
      <c r="BA87" s="195"/>
    </row>
    <row r="88" spans="1:53" x14ac:dyDescent="0.2">
      <c r="A88" s="84" t="s">
        <v>219</v>
      </c>
      <c r="B88" s="85"/>
      <c r="C88" s="85"/>
      <c r="D88" s="48"/>
      <c r="E88" s="48"/>
      <c r="F88" s="399" t="s">
        <v>208</v>
      </c>
      <c r="G88" s="399"/>
      <c r="H88" s="399"/>
      <c r="I88" s="399"/>
      <c r="J88" s="399"/>
      <c r="K88" s="399"/>
      <c r="L88" s="399"/>
      <c r="M88" s="399"/>
      <c r="N88" s="399"/>
      <c r="O88" s="400"/>
      <c r="P88" s="86"/>
      <c r="Q88" s="86"/>
      <c r="R88" s="86"/>
      <c r="S88" s="86"/>
      <c r="T88" s="86"/>
      <c r="U88" s="86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5"/>
      <c r="AH88" s="195"/>
      <c r="AI88" s="195"/>
      <c r="AJ88" s="195"/>
      <c r="AK88" s="195"/>
      <c r="AL88" s="195"/>
      <c r="AM88" s="195"/>
      <c r="AN88" s="195"/>
      <c r="AO88" s="195"/>
      <c r="AP88" s="195"/>
      <c r="AQ88" s="195"/>
      <c r="AR88" s="195"/>
      <c r="AS88" s="195"/>
      <c r="AT88" s="195"/>
      <c r="AU88" s="195"/>
      <c r="AV88" s="195"/>
      <c r="AW88" s="195"/>
      <c r="AX88" s="195"/>
      <c r="AY88" s="195"/>
      <c r="AZ88" s="195"/>
      <c r="BA88" s="195"/>
    </row>
    <row r="89" spans="1:53" x14ac:dyDescent="0.2">
      <c r="A89" s="472" t="s">
        <v>204</v>
      </c>
      <c r="B89" s="473"/>
      <c r="C89" s="473"/>
      <c r="D89" s="474"/>
      <c r="E89" s="252"/>
      <c r="F89" s="252"/>
      <c r="G89" s="168"/>
      <c r="H89" s="168"/>
      <c r="I89" s="168"/>
      <c r="J89" s="168"/>
      <c r="K89" s="168"/>
      <c r="L89" s="168"/>
      <c r="M89" s="168"/>
      <c r="N89" s="168"/>
      <c r="O89" s="168"/>
      <c r="P89" s="170"/>
      <c r="Q89" s="170"/>
      <c r="R89" s="170"/>
      <c r="S89" s="170"/>
      <c r="T89" s="170"/>
      <c r="U89" s="73">
        <f t="shared" ref="U89:U94" si="10">SUM(P89:T89)</f>
        <v>0</v>
      </c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  <c r="AW89" s="195"/>
      <c r="AX89" s="195"/>
      <c r="AY89" s="195"/>
      <c r="AZ89" s="195"/>
      <c r="BA89" s="195"/>
    </row>
    <row r="90" spans="1:53" x14ac:dyDescent="0.2">
      <c r="A90" s="189"/>
      <c r="B90" s="459" t="s">
        <v>205</v>
      </c>
      <c r="C90" s="459"/>
      <c r="D90" s="460"/>
      <c r="E90" s="251"/>
      <c r="F90" s="251"/>
      <c r="G90" s="168"/>
      <c r="H90" s="168"/>
      <c r="I90" s="168"/>
      <c r="J90" s="168"/>
      <c r="K90" s="168"/>
      <c r="L90" s="168"/>
      <c r="M90" s="168"/>
      <c r="N90" s="168"/>
      <c r="O90" s="168"/>
      <c r="P90" s="170"/>
      <c r="Q90" s="170"/>
      <c r="R90" s="170"/>
      <c r="S90" s="170"/>
      <c r="T90" s="170"/>
      <c r="U90" s="73">
        <f t="shared" si="10"/>
        <v>0</v>
      </c>
      <c r="V90" s="195"/>
      <c r="W90" s="195"/>
      <c r="X90" s="195"/>
      <c r="Y90" s="195"/>
      <c r="Z90" s="195"/>
      <c r="AA90" s="195"/>
      <c r="AB90" s="195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  <c r="AW90" s="195"/>
      <c r="AX90" s="195"/>
      <c r="AY90" s="195"/>
      <c r="AZ90" s="195"/>
      <c r="BA90" s="195"/>
    </row>
    <row r="91" spans="1:53" x14ac:dyDescent="0.2">
      <c r="A91" s="189"/>
      <c r="B91" s="459" t="s">
        <v>206</v>
      </c>
      <c r="C91" s="459"/>
      <c r="D91" s="460"/>
      <c r="E91" s="251"/>
      <c r="F91" s="251"/>
      <c r="G91" s="168"/>
      <c r="H91" s="168"/>
      <c r="I91" s="168"/>
      <c r="J91" s="168"/>
      <c r="K91" s="168"/>
      <c r="L91" s="168"/>
      <c r="M91" s="168"/>
      <c r="N91" s="168"/>
      <c r="O91" s="168"/>
      <c r="P91" s="170"/>
      <c r="Q91" s="170"/>
      <c r="R91" s="170"/>
      <c r="S91" s="170"/>
      <c r="T91" s="170"/>
      <c r="U91" s="73">
        <f t="shared" si="10"/>
        <v>0</v>
      </c>
      <c r="V91" s="195"/>
      <c r="W91" s="195"/>
      <c r="X91" s="195"/>
      <c r="Y91" s="195"/>
      <c r="Z91" s="195"/>
      <c r="AA91" s="195"/>
      <c r="AB91" s="195"/>
      <c r="AC91" s="195"/>
      <c r="AD91" s="195"/>
      <c r="AE91" s="195"/>
      <c r="AF91" s="195"/>
      <c r="AG91" s="195"/>
      <c r="AH91" s="195"/>
      <c r="AI91" s="195"/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  <c r="AW91" s="195"/>
      <c r="AX91" s="195"/>
      <c r="AY91" s="195"/>
      <c r="AZ91" s="195"/>
      <c r="BA91" s="195"/>
    </row>
    <row r="92" spans="1:53" x14ac:dyDescent="0.2">
      <c r="A92" s="189"/>
      <c r="B92" s="459" t="s">
        <v>207</v>
      </c>
      <c r="C92" s="459"/>
      <c r="D92" s="460"/>
      <c r="E92" s="251"/>
      <c r="F92" s="251"/>
      <c r="G92" s="168"/>
      <c r="H92" s="168"/>
      <c r="I92" s="168"/>
      <c r="J92" s="168"/>
      <c r="K92" s="168"/>
      <c r="L92" s="168"/>
      <c r="M92" s="168"/>
      <c r="N92" s="168"/>
      <c r="O92" s="168"/>
      <c r="P92" s="170"/>
      <c r="Q92" s="170"/>
      <c r="R92" s="170"/>
      <c r="S92" s="170"/>
      <c r="T92" s="170"/>
      <c r="U92" s="73">
        <f t="shared" si="10"/>
        <v>0</v>
      </c>
      <c r="V92" s="195"/>
      <c r="W92" s="195"/>
      <c r="X92" s="195"/>
      <c r="Y92" s="195"/>
      <c r="Z92" s="195"/>
      <c r="AA92" s="195"/>
      <c r="AB92" s="195"/>
      <c r="AC92" s="195"/>
      <c r="AD92" s="195"/>
      <c r="AE92" s="195"/>
      <c r="AF92" s="195"/>
      <c r="AG92" s="195"/>
      <c r="AH92" s="195"/>
      <c r="AI92" s="195"/>
      <c r="AJ92" s="195"/>
      <c r="AK92" s="195"/>
      <c r="AL92" s="195"/>
      <c r="AM92" s="195"/>
      <c r="AN92" s="195"/>
      <c r="AO92" s="195"/>
      <c r="AP92" s="195"/>
      <c r="AQ92" s="195"/>
      <c r="AR92" s="195"/>
      <c r="AS92" s="195"/>
      <c r="AT92" s="195"/>
      <c r="AU92" s="195"/>
      <c r="AV92" s="195"/>
      <c r="AW92" s="195"/>
      <c r="AX92" s="195"/>
      <c r="AY92" s="195"/>
      <c r="AZ92" s="195"/>
      <c r="BA92" s="195"/>
    </row>
    <row r="93" spans="1:53" x14ac:dyDescent="0.2">
      <c r="A93" s="189"/>
      <c r="B93" s="459" t="s">
        <v>75</v>
      </c>
      <c r="C93" s="459"/>
      <c r="D93" s="460"/>
      <c r="E93" s="251"/>
      <c r="F93" s="251"/>
      <c r="G93" s="168"/>
      <c r="H93" s="168"/>
      <c r="I93" s="168"/>
      <c r="J93" s="168"/>
      <c r="K93" s="168"/>
      <c r="L93" s="168"/>
      <c r="M93" s="168"/>
      <c r="N93" s="168"/>
      <c r="O93" s="168"/>
      <c r="P93" s="170"/>
      <c r="Q93" s="170"/>
      <c r="R93" s="170"/>
      <c r="S93" s="170"/>
      <c r="T93" s="170"/>
      <c r="U93" s="73">
        <f t="shared" si="10"/>
        <v>0</v>
      </c>
      <c r="V93" s="195"/>
      <c r="W93" s="195"/>
      <c r="X93" s="195"/>
      <c r="Y93" s="195"/>
      <c r="Z93" s="195"/>
      <c r="AA93" s="195"/>
      <c r="AB93" s="195"/>
      <c r="AC93" s="195"/>
      <c r="AD93" s="195"/>
      <c r="AE93" s="195"/>
      <c r="AF93" s="195"/>
      <c r="AG93" s="195"/>
      <c r="AH93" s="195"/>
      <c r="AI93" s="195"/>
      <c r="AJ93" s="195"/>
      <c r="AK93" s="195"/>
      <c r="AL93" s="195"/>
      <c r="AM93" s="195"/>
      <c r="AN93" s="195"/>
      <c r="AO93" s="195"/>
      <c r="AP93" s="195"/>
      <c r="AQ93" s="195"/>
      <c r="AR93" s="195"/>
      <c r="AS93" s="195"/>
      <c r="AT93" s="195"/>
      <c r="AU93" s="195"/>
      <c r="AV93" s="195"/>
      <c r="AW93" s="195"/>
      <c r="AX93" s="195"/>
      <c r="AY93" s="195"/>
      <c r="AZ93" s="195"/>
      <c r="BA93" s="195"/>
    </row>
    <row r="94" spans="1:53" x14ac:dyDescent="0.2">
      <c r="A94" s="189"/>
      <c r="B94" s="459" t="s">
        <v>75</v>
      </c>
      <c r="C94" s="459"/>
      <c r="D94" s="460"/>
      <c r="E94" s="251"/>
      <c r="F94" s="251"/>
      <c r="G94" s="168"/>
      <c r="H94" s="168"/>
      <c r="I94" s="168"/>
      <c r="J94" s="168"/>
      <c r="K94" s="168"/>
      <c r="L94" s="168"/>
      <c r="M94" s="168"/>
      <c r="N94" s="168"/>
      <c r="O94" s="168"/>
      <c r="P94" s="170"/>
      <c r="Q94" s="170"/>
      <c r="R94" s="170"/>
      <c r="S94" s="170"/>
      <c r="T94" s="170"/>
      <c r="U94" s="73">
        <f t="shared" si="10"/>
        <v>0</v>
      </c>
      <c r="V94" s="195"/>
      <c r="W94" s="195"/>
      <c r="X94" s="195"/>
      <c r="Y94" s="195"/>
      <c r="Z94" s="195"/>
      <c r="AA94" s="195"/>
      <c r="AB94" s="195"/>
      <c r="AC94" s="195"/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  <c r="AN94" s="195"/>
      <c r="AO94" s="195"/>
      <c r="AP94" s="195"/>
      <c r="AQ94" s="195"/>
      <c r="AR94" s="195"/>
      <c r="AS94" s="195"/>
      <c r="AT94" s="195"/>
      <c r="AU94" s="195"/>
      <c r="AV94" s="195"/>
      <c r="AW94" s="195"/>
      <c r="AX94" s="195"/>
      <c r="AY94" s="195"/>
      <c r="AZ94" s="195"/>
      <c r="BA94" s="195"/>
    </row>
    <row r="95" spans="1:53" x14ac:dyDescent="0.2">
      <c r="A95" s="401" t="s">
        <v>221</v>
      </c>
      <c r="B95" s="402"/>
      <c r="C95" s="402"/>
      <c r="D95" s="402"/>
      <c r="E95" s="250"/>
      <c r="F95" s="250"/>
      <c r="G95" s="122"/>
      <c r="H95" s="122"/>
      <c r="I95" s="122"/>
      <c r="J95" s="122"/>
      <c r="K95" s="122"/>
      <c r="L95" s="122"/>
      <c r="M95" s="122"/>
      <c r="N95" s="122"/>
      <c r="O95" s="122"/>
      <c r="P95" s="126">
        <f t="shared" ref="P95:U95" si="11">SUM(P89:P94)</f>
        <v>0</v>
      </c>
      <c r="Q95" s="126">
        <f t="shared" si="11"/>
        <v>0</v>
      </c>
      <c r="R95" s="126">
        <f t="shared" si="11"/>
        <v>0</v>
      </c>
      <c r="S95" s="126">
        <f t="shared" si="11"/>
        <v>0</v>
      </c>
      <c r="T95" s="126">
        <f t="shared" si="11"/>
        <v>0</v>
      </c>
      <c r="U95" s="126">
        <f t="shared" si="11"/>
        <v>0</v>
      </c>
      <c r="V95" s="195"/>
      <c r="W95" s="195"/>
      <c r="X95" s="195"/>
      <c r="Y95" s="195"/>
      <c r="Z95" s="195"/>
      <c r="AA95" s="195"/>
      <c r="AB95" s="195"/>
      <c r="AC95" s="195"/>
      <c r="AD95" s="195"/>
      <c r="AE95" s="195"/>
      <c r="AF95" s="195"/>
      <c r="AG95" s="195"/>
      <c r="AH95" s="195"/>
      <c r="AI95" s="195"/>
      <c r="AJ95" s="195"/>
      <c r="AK95" s="195"/>
      <c r="AL95" s="195"/>
      <c r="AM95" s="195"/>
      <c r="AN95" s="195"/>
      <c r="AO95" s="195"/>
      <c r="AP95" s="195"/>
      <c r="AQ95" s="195"/>
      <c r="AR95" s="195"/>
      <c r="AS95" s="195"/>
      <c r="AT95" s="195"/>
      <c r="AU95" s="195"/>
      <c r="AV95" s="195"/>
      <c r="AW95" s="195"/>
      <c r="AX95" s="195"/>
      <c r="AY95" s="195"/>
      <c r="AZ95" s="195"/>
      <c r="BA95" s="195"/>
    </row>
    <row r="96" spans="1:53" x14ac:dyDescent="0.2"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  <c r="AG96" s="195"/>
      <c r="AH96" s="195"/>
      <c r="AI96" s="195"/>
      <c r="AJ96" s="195"/>
      <c r="AK96" s="195"/>
      <c r="AL96" s="195"/>
      <c r="AM96" s="195"/>
      <c r="AN96" s="195"/>
      <c r="AO96" s="195"/>
      <c r="AP96" s="195"/>
      <c r="AQ96" s="195"/>
      <c r="AR96" s="195"/>
      <c r="AS96" s="195"/>
      <c r="AT96" s="195"/>
      <c r="AU96" s="195"/>
      <c r="AV96" s="195"/>
      <c r="AW96" s="195"/>
      <c r="AX96" s="195"/>
      <c r="AY96" s="195"/>
      <c r="AZ96" s="195"/>
      <c r="BA96" s="195"/>
    </row>
    <row r="97" spans="1:53" x14ac:dyDescent="0.2">
      <c r="A97" s="461" t="s">
        <v>218</v>
      </c>
      <c r="B97" s="462"/>
      <c r="C97" s="462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9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95"/>
      <c r="AI97" s="195"/>
      <c r="AJ97" s="195"/>
      <c r="AK97" s="195"/>
      <c r="AL97" s="195"/>
      <c r="AM97" s="195"/>
      <c r="AN97" s="195"/>
      <c r="AO97" s="195"/>
      <c r="AP97" s="195"/>
      <c r="AQ97" s="195"/>
      <c r="AR97" s="195"/>
      <c r="AS97" s="195"/>
      <c r="AT97" s="195"/>
      <c r="AU97" s="195"/>
      <c r="AV97" s="195"/>
      <c r="AW97" s="195"/>
      <c r="AX97" s="195"/>
      <c r="AY97" s="195"/>
      <c r="AZ97" s="195"/>
      <c r="BA97" s="195"/>
    </row>
    <row r="98" spans="1:53" x14ac:dyDescent="0.2">
      <c r="A98" s="461" t="s">
        <v>201</v>
      </c>
      <c r="B98" s="462"/>
      <c r="C98" s="462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86" t="s">
        <v>113</v>
      </c>
      <c r="Q98" s="86" t="s">
        <v>114</v>
      </c>
      <c r="R98" s="86" t="s">
        <v>115</v>
      </c>
      <c r="S98" s="86" t="s">
        <v>118</v>
      </c>
      <c r="T98" s="86" t="s">
        <v>116</v>
      </c>
      <c r="U98" s="86" t="str">
        <f>U75</f>
        <v>Total</v>
      </c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5"/>
      <c r="AH98" s="195"/>
      <c r="AI98" s="195"/>
      <c r="AJ98" s="195"/>
      <c r="AK98" s="195"/>
      <c r="AL98" s="195"/>
      <c r="AM98" s="195"/>
      <c r="AN98" s="195"/>
      <c r="AO98" s="195"/>
      <c r="AP98" s="195"/>
      <c r="AQ98" s="195"/>
      <c r="AR98" s="195"/>
      <c r="AS98" s="195"/>
      <c r="AT98" s="195"/>
      <c r="AU98" s="195"/>
      <c r="AV98" s="195"/>
      <c r="AW98" s="195"/>
      <c r="AX98" s="195"/>
      <c r="AY98" s="195"/>
      <c r="AZ98" s="195"/>
      <c r="BA98" s="195"/>
    </row>
    <row r="99" spans="1:53" x14ac:dyDescent="0.2">
      <c r="A99" s="189"/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70"/>
      <c r="Q99" s="170"/>
      <c r="R99" s="170"/>
      <c r="S99" s="170"/>
      <c r="T99" s="170"/>
      <c r="U99" s="73">
        <f>SUM(P99:T99)</f>
        <v>0</v>
      </c>
      <c r="V99" s="195"/>
      <c r="W99" s="195"/>
      <c r="X99" s="195"/>
      <c r="Y99" s="195"/>
      <c r="Z99" s="195"/>
      <c r="AA99" s="195"/>
      <c r="AB99" s="195"/>
      <c r="AC99" s="195"/>
      <c r="AD99" s="195"/>
      <c r="AE99" s="195"/>
      <c r="AF99" s="195"/>
      <c r="AG99" s="195"/>
      <c r="AH99" s="195"/>
      <c r="AI99" s="195"/>
      <c r="AJ99" s="195"/>
      <c r="AK99" s="195"/>
      <c r="AL99" s="195"/>
      <c r="AM99" s="195"/>
      <c r="AN99" s="195"/>
      <c r="AO99" s="195"/>
      <c r="AP99" s="195"/>
      <c r="AQ99" s="195"/>
      <c r="AR99" s="195"/>
      <c r="AS99" s="195"/>
      <c r="AT99" s="195"/>
      <c r="AU99" s="195"/>
      <c r="AV99" s="195"/>
      <c r="AW99" s="195"/>
      <c r="AX99" s="195"/>
      <c r="AY99" s="195"/>
      <c r="AZ99" s="195"/>
      <c r="BA99" s="195"/>
    </row>
    <row r="100" spans="1:53" x14ac:dyDescent="0.2">
      <c r="A100" s="189"/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70"/>
      <c r="Q100" s="170"/>
      <c r="R100" s="170"/>
      <c r="S100" s="170"/>
      <c r="T100" s="170"/>
      <c r="U100" s="73">
        <f t="shared" ref="U100:U132" si="12">SUM(P100:T100)</f>
        <v>0</v>
      </c>
      <c r="V100" s="195"/>
      <c r="W100" s="195"/>
      <c r="X100" s="195"/>
      <c r="Y100" s="195"/>
      <c r="Z100" s="195"/>
      <c r="AA100" s="195"/>
      <c r="AB100" s="195"/>
      <c r="AC100" s="195"/>
      <c r="AD100" s="195"/>
      <c r="AE100" s="195"/>
      <c r="AF100" s="195"/>
      <c r="AG100" s="195"/>
      <c r="AH100" s="195"/>
      <c r="AI100" s="195"/>
      <c r="AJ100" s="195"/>
      <c r="AK100" s="195"/>
      <c r="AL100" s="195"/>
      <c r="AM100" s="195"/>
      <c r="AN100" s="195"/>
      <c r="AO100" s="195"/>
      <c r="AP100" s="195"/>
      <c r="AQ100" s="195"/>
      <c r="AR100" s="195"/>
      <c r="AS100" s="195"/>
      <c r="AT100" s="195"/>
      <c r="AU100" s="195"/>
      <c r="AV100" s="195"/>
      <c r="AW100" s="195"/>
      <c r="AX100" s="195"/>
      <c r="AY100" s="195"/>
      <c r="AZ100" s="195"/>
      <c r="BA100" s="195"/>
    </row>
    <row r="101" spans="1:53" x14ac:dyDescent="0.2">
      <c r="A101" s="189"/>
      <c r="B101" s="168"/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70"/>
      <c r="Q101" s="170"/>
      <c r="R101" s="170"/>
      <c r="S101" s="170"/>
      <c r="T101" s="170"/>
      <c r="U101" s="73">
        <f t="shared" si="12"/>
        <v>0</v>
      </c>
      <c r="V101" s="195"/>
      <c r="W101" s="195"/>
      <c r="X101" s="195"/>
      <c r="Y101" s="195"/>
      <c r="Z101" s="195"/>
      <c r="AA101" s="195"/>
      <c r="AB101" s="195"/>
      <c r="AC101" s="195"/>
      <c r="AD101" s="195"/>
      <c r="AE101" s="195"/>
      <c r="AF101" s="195"/>
      <c r="AG101" s="195"/>
      <c r="AH101" s="195"/>
      <c r="AI101" s="195"/>
      <c r="AJ101" s="195"/>
      <c r="AK101" s="195"/>
      <c r="AL101" s="195"/>
      <c r="AM101" s="195"/>
      <c r="AN101" s="195"/>
      <c r="AO101" s="195"/>
      <c r="AP101" s="195"/>
      <c r="AQ101" s="195"/>
      <c r="AR101" s="195"/>
      <c r="AS101" s="195"/>
      <c r="AT101" s="195"/>
      <c r="AU101" s="195"/>
      <c r="AV101" s="195"/>
      <c r="AW101" s="195"/>
      <c r="AX101" s="195"/>
      <c r="AY101" s="195"/>
      <c r="AZ101" s="195"/>
      <c r="BA101" s="195"/>
    </row>
    <row r="102" spans="1:53" x14ac:dyDescent="0.2">
      <c r="A102" s="189"/>
      <c r="B102" s="168"/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70"/>
      <c r="Q102" s="170"/>
      <c r="R102" s="170"/>
      <c r="S102" s="170"/>
      <c r="T102" s="170"/>
      <c r="U102" s="73">
        <f t="shared" si="12"/>
        <v>0</v>
      </c>
      <c r="V102" s="195"/>
      <c r="W102" s="195"/>
      <c r="X102" s="195"/>
      <c r="Y102" s="195"/>
      <c r="Z102" s="195"/>
      <c r="AA102" s="195"/>
      <c r="AB102" s="195"/>
      <c r="AC102" s="195"/>
      <c r="AD102" s="195"/>
      <c r="AE102" s="195"/>
      <c r="AF102" s="195"/>
      <c r="AG102" s="195"/>
      <c r="AH102" s="195"/>
      <c r="AI102" s="195"/>
      <c r="AJ102" s="195"/>
      <c r="AK102" s="195"/>
      <c r="AL102" s="195"/>
      <c r="AM102" s="195"/>
      <c r="AN102" s="195"/>
      <c r="AO102" s="195"/>
      <c r="AP102" s="195"/>
      <c r="AQ102" s="195"/>
      <c r="AR102" s="195"/>
      <c r="AS102" s="195"/>
      <c r="AT102" s="195"/>
      <c r="AU102" s="195"/>
      <c r="AV102" s="195"/>
      <c r="AW102" s="195"/>
      <c r="AX102" s="195"/>
      <c r="AY102" s="195"/>
      <c r="AZ102" s="195"/>
      <c r="BA102" s="195"/>
    </row>
    <row r="103" spans="1:53" x14ac:dyDescent="0.2">
      <c r="A103" s="189"/>
      <c r="B103" s="168"/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70"/>
      <c r="Q103" s="170"/>
      <c r="R103" s="170"/>
      <c r="S103" s="170"/>
      <c r="T103" s="170"/>
      <c r="U103" s="73">
        <f t="shared" si="12"/>
        <v>0</v>
      </c>
      <c r="V103" s="195"/>
      <c r="W103" s="195"/>
      <c r="X103" s="195"/>
      <c r="Y103" s="195"/>
      <c r="Z103" s="195"/>
      <c r="AA103" s="195"/>
      <c r="AB103" s="195"/>
      <c r="AC103" s="195"/>
      <c r="AD103" s="195"/>
      <c r="AE103" s="195"/>
      <c r="AF103" s="195"/>
      <c r="AG103" s="195"/>
      <c r="AH103" s="195"/>
      <c r="AI103" s="195"/>
      <c r="AJ103" s="195"/>
      <c r="AK103" s="195"/>
      <c r="AL103" s="195"/>
      <c r="AM103" s="195"/>
      <c r="AN103" s="195"/>
      <c r="AO103" s="195"/>
      <c r="AP103" s="195"/>
      <c r="AQ103" s="195"/>
      <c r="AR103" s="195"/>
      <c r="AS103" s="195"/>
      <c r="AT103" s="195"/>
      <c r="AU103" s="195"/>
      <c r="AV103" s="195"/>
      <c r="AW103" s="195"/>
      <c r="AX103" s="195"/>
      <c r="AY103" s="195"/>
      <c r="AZ103" s="195"/>
      <c r="BA103" s="195"/>
    </row>
    <row r="104" spans="1:53" x14ac:dyDescent="0.2">
      <c r="A104" s="189"/>
      <c r="B104" s="168"/>
      <c r="C104" s="168"/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70"/>
      <c r="Q104" s="170"/>
      <c r="R104" s="170"/>
      <c r="S104" s="170"/>
      <c r="T104" s="170"/>
      <c r="U104" s="73">
        <f t="shared" si="12"/>
        <v>0</v>
      </c>
      <c r="V104" s="195"/>
      <c r="W104" s="195"/>
      <c r="X104" s="195"/>
      <c r="Y104" s="195"/>
      <c r="Z104" s="195"/>
      <c r="AA104" s="195"/>
      <c r="AB104" s="195"/>
      <c r="AC104" s="195"/>
      <c r="AD104" s="195"/>
      <c r="AE104" s="195"/>
      <c r="AF104" s="195"/>
      <c r="AG104" s="195"/>
      <c r="AH104" s="195"/>
      <c r="AI104" s="195"/>
      <c r="AJ104" s="195"/>
      <c r="AK104" s="195"/>
      <c r="AL104" s="195"/>
      <c r="AM104" s="195"/>
      <c r="AN104" s="195"/>
      <c r="AO104" s="195"/>
      <c r="AP104" s="195"/>
      <c r="AQ104" s="195"/>
      <c r="AR104" s="195"/>
      <c r="AS104" s="195"/>
      <c r="AT104" s="195"/>
      <c r="AU104" s="195"/>
      <c r="AV104" s="195"/>
      <c r="AW104" s="195"/>
      <c r="AX104" s="195"/>
      <c r="AY104" s="195"/>
      <c r="AZ104" s="195"/>
      <c r="BA104" s="195"/>
    </row>
    <row r="105" spans="1:53" x14ac:dyDescent="0.2">
      <c r="A105" s="189"/>
      <c r="B105" s="168"/>
      <c r="C105" s="168"/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70"/>
      <c r="Q105" s="170"/>
      <c r="R105" s="170"/>
      <c r="S105" s="170"/>
      <c r="T105" s="170"/>
      <c r="U105" s="73">
        <f t="shared" si="12"/>
        <v>0</v>
      </c>
      <c r="V105" s="195"/>
      <c r="W105" s="195"/>
      <c r="X105" s="195"/>
      <c r="Y105" s="195"/>
      <c r="Z105" s="195"/>
      <c r="AA105" s="195"/>
      <c r="AB105" s="195"/>
      <c r="AC105" s="195"/>
      <c r="AD105" s="195"/>
      <c r="AE105" s="195"/>
      <c r="AF105" s="195"/>
      <c r="AG105" s="195"/>
      <c r="AH105" s="195"/>
      <c r="AI105" s="195"/>
      <c r="AJ105" s="195"/>
      <c r="AK105" s="195"/>
      <c r="AL105" s="195"/>
      <c r="AM105" s="195"/>
      <c r="AN105" s="195"/>
      <c r="AO105" s="195"/>
      <c r="AP105" s="195"/>
      <c r="AQ105" s="195"/>
      <c r="AR105" s="195"/>
      <c r="AS105" s="195"/>
      <c r="AT105" s="195"/>
      <c r="AU105" s="195"/>
      <c r="AV105" s="195"/>
      <c r="AW105" s="195"/>
      <c r="AX105" s="195"/>
      <c r="AY105" s="195"/>
      <c r="AZ105" s="195"/>
      <c r="BA105" s="195"/>
    </row>
    <row r="106" spans="1:53" x14ac:dyDescent="0.2">
      <c r="A106" s="189"/>
      <c r="B106" s="168"/>
      <c r="C106" s="168"/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70"/>
      <c r="Q106" s="170"/>
      <c r="R106" s="170"/>
      <c r="S106" s="170"/>
      <c r="T106" s="170"/>
      <c r="U106" s="73">
        <f t="shared" si="12"/>
        <v>0</v>
      </c>
      <c r="V106" s="195"/>
      <c r="W106" s="195"/>
      <c r="X106" s="195"/>
      <c r="Y106" s="195"/>
      <c r="Z106" s="195"/>
      <c r="AA106" s="195"/>
      <c r="AB106" s="195"/>
      <c r="AC106" s="195"/>
      <c r="AD106" s="195"/>
      <c r="AE106" s="195"/>
      <c r="AF106" s="195"/>
      <c r="AG106" s="195"/>
      <c r="AH106" s="195"/>
      <c r="AI106" s="195"/>
      <c r="AJ106" s="195"/>
      <c r="AK106" s="195"/>
      <c r="AL106" s="195"/>
      <c r="AM106" s="195"/>
      <c r="AN106" s="195"/>
      <c r="AO106" s="195"/>
      <c r="AP106" s="195"/>
      <c r="AQ106" s="195"/>
      <c r="AR106" s="195"/>
      <c r="AS106" s="195"/>
      <c r="AT106" s="195"/>
      <c r="AU106" s="195"/>
      <c r="AV106" s="195"/>
      <c r="AW106" s="195"/>
      <c r="AX106" s="195"/>
      <c r="AY106" s="195"/>
      <c r="AZ106" s="195"/>
      <c r="BA106" s="195"/>
    </row>
    <row r="107" spans="1:53" hidden="1" x14ac:dyDescent="0.2">
      <c r="A107" s="189"/>
      <c r="B107" s="168"/>
      <c r="C107" s="168"/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70"/>
      <c r="Q107" s="170"/>
      <c r="R107" s="170"/>
      <c r="S107" s="170"/>
      <c r="T107" s="170"/>
      <c r="U107" s="73">
        <f t="shared" si="12"/>
        <v>0</v>
      </c>
      <c r="V107" s="195"/>
      <c r="W107" s="195"/>
      <c r="X107" s="195"/>
      <c r="Y107" s="195"/>
      <c r="Z107" s="195"/>
      <c r="AA107" s="195"/>
      <c r="AB107" s="195"/>
      <c r="AC107" s="195"/>
      <c r="AD107" s="195"/>
      <c r="AE107" s="195"/>
      <c r="AF107" s="195"/>
      <c r="AG107" s="195"/>
      <c r="AH107" s="195"/>
      <c r="AI107" s="195"/>
      <c r="AJ107" s="195"/>
      <c r="AK107" s="195"/>
      <c r="AL107" s="195"/>
      <c r="AM107" s="195"/>
      <c r="AN107" s="195"/>
      <c r="AO107" s="195"/>
      <c r="AP107" s="195"/>
      <c r="AQ107" s="195"/>
      <c r="AR107" s="195"/>
      <c r="AS107" s="195"/>
      <c r="AT107" s="195"/>
      <c r="AU107" s="195"/>
      <c r="AV107" s="195"/>
      <c r="AW107" s="195"/>
      <c r="AX107" s="195"/>
      <c r="AY107" s="195"/>
      <c r="AZ107" s="195"/>
      <c r="BA107" s="195"/>
    </row>
    <row r="108" spans="1:53" hidden="1" x14ac:dyDescent="0.2">
      <c r="A108" s="189"/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70"/>
      <c r="Q108" s="170"/>
      <c r="R108" s="170"/>
      <c r="S108" s="170"/>
      <c r="T108" s="170"/>
      <c r="U108" s="73">
        <f t="shared" si="12"/>
        <v>0</v>
      </c>
      <c r="V108" s="195"/>
      <c r="W108" s="195"/>
      <c r="X108" s="195"/>
      <c r="Y108" s="195"/>
      <c r="Z108" s="195"/>
      <c r="AA108" s="195"/>
      <c r="AB108" s="195"/>
      <c r="AC108" s="195"/>
      <c r="AD108" s="195"/>
      <c r="AE108" s="195"/>
      <c r="AF108" s="195"/>
      <c r="AG108" s="195"/>
      <c r="AH108" s="195"/>
      <c r="AI108" s="195"/>
      <c r="AJ108" s="195"/>
      <c r="AK108" s="195"/>
      <c r="AL108" s="195"/>
      <c r="AM108" s="195"/>
      <c r="AN108" s="195"/>
      <c r="AO108" s="195"/>
      <c r="AP108" s="195"/>
      <c r="AQ108" s="195"/>
      <c r="AR108" s="195"/>
      <c r="AS108" s="195"/>
      <c r="AT108" s="195"/>
      <c r="AU108" s="195"/>
      <c r="AV108" s="195"/>
      <c r="AW108" s="195"/>
      <c r="AX108" s="195"/>
      <c r="AY108" s="195"/>
      <c r="AZ108" s="195"/>
      <c r="BA108" s="195"/>
    </row>
    <row r="109" spans="1:53" hidden="1" x14ac:dyDescent="0.2">
      <c r="A109" s="189"/>
      <c r="B109" s="168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70"/>
      <c r="Q109" s="170"/>
      <c r="R109" s="170"/>
      <c r="S109" s="170"/>
      <c r="T109" s="170"/>
      <c r="U109" s="73">
        <f t="shared" si="12"/>
        <v>0</v>
      </c>
      <c r="V109" s="195"/>
      <c r="W109" s="195"/>
      <c r="X109" s="195"/>
      <c r="Y109" s="195"/>
      <c r="Z109" s="195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AW109" s="195"/>
      <c r="AX109" s="195"/>
      <c r="AY109" s="195"/>
      <c r="AZ109" s="195"/>
      <c r="BA109" s="195"/>
    </row>
    <row r="110" spans="1:53" hidden="1" x14ac:dyDescent="0.2">
      <c r="A110" s="189"/>
      <c r="B110" s="168"/>
      <c r="C110" s="168"/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70"/>
      <c r="Q110" s="170"/>
      <c r="R110" s="170"/>
      <c r="S110" s="170"/>
      <c r="T110" s="170"/>
      <c r="U110" s="73">
        <f t="shared" si="12"/>
        <v>0</v>
      </c>
      <c r="V110" s="195"/>
      <c r="W110" s="195"/>
      <c r="X110" s="195"/>
      <c r="Y110" s="195"/>
      <c r="Z110" s="195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  <c r="AW110" s="195"/>
      <c r="AX110" s="195"/>
      <c r="AY110" s="195"/>
      <c r="AZ110" s="195"/>
      <c r="BA110" s="195"/>
    </row>
    <row r="111" spans="1:53" hidden="1" x14ac:dyDescent="0.2">
      <c r="A111" s="189"/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70"/>
      <c r="Q111" s="170"/>
      <c r="R111" s="170"/>
      <c r="S111" s="170"/>
      <c r="T111" s="170"/>
      <c r="U111" s="73">
        <f t="shared" si="12"/>
        <v>0</v>
      </c>
      <c r="V111" s="195"/>
      <c r="W111" s="195"/>
      <c r="X111" s="195"/>
      <c r="Y111" s="195"/>
      <c r="Z111" s="195"/>
      <c r="AA111" s="195"/>
      <c r="AB111" s="195"/>
      <c r="AC111" s="195"/>
      <c r="AD111" s="195"/>
      <c r="AE111" s="195"/>
      <c r="AF111" s="195"/>
      <c r="AG111" s="195"/>
      <c r="AH111" s="195"/>
      <c r="AI111" s="195"/>
      <c r="AJ111" s="195"/>
      <c r="AK111" s="195"/>
      <c r="AL111" s="195"/>
      <c r="AM111" s="195"/>
      <c r="AN111" s="195"/>
      <c r="AO111" s="195"/>
      <c r="AP111" s="195"/>
      <c r="AQ111" s="195"/>
      <c r="AR111" s="195"/>
      <c r="AS111" s="195"/>
      <c r="AT111" s="195"/>
      <c r="AU111" s="195"/>
      <c r="AV111" s="195"/>
      <c r="AW111" s="195"/>
      <c r="AX111" s="195"/>
      <c r="AY111" s="195"/>
      <c r="AZ111" s="195"/>
      <c r="BA111" s="195"/>
    </row>
    <row r="112" spans="1:53" hidden="1" x14ac:dyDescent="0.2">
      <c r="A112" s="189"/>
      <c r="B112" s="168"/>
      <c r="C112" s="168"/>
      <c r="D112" s="168"/>
      <c r="E112" s="168"/>
      <c r="F112" s="168"/>
      <c r="G112" s="168"/>
      <c r="H112" s="168"/>
      <c r="I112" s="168"/>
      <c r="J112" s="168"/>
      <c r="K112" s="168"/>
      <c r="L112" s="168"/>
      <c r="M112" s="168"/>
      <c r="N112" s="168"/>
      <c r="O112" s="168"/>
      <c r="P112" s="170"/>
      <c r="Q112" s="170"/>
      <c r="R112" s="170"/>
      <c r="S112" s="170"/>
      <c r="T112" s="170"/>
      <c r="U112" s="73">
        <f t="shared" si="12"/>
        <v>0</v>
      </c>
      <c r="V112" s="195"/>
      <c r="W112" s="195"/>
      <c r="X112" s="195"/>
      <c r="Y112" s="195"/>
      <c r="Z112" s="195"/>
      <c r="AA112" s="195"/>
      <c r="AB112" s="195"/>
      <c r="AC112" s="195"/>
      <c r="AD112" s="195"/>
      <c r="AE112" s="195"/>
      <c r="AF112" s="195"/>
      <c r="AG112" s="195"/>
      <c r="AH112" s="195"/>
      <c r="AI112" s="195"/>
      <c r="AJ112" s="195"/>
      <c r="AK112" s="195"/>
      <c r="AL112" s="195"/>
      <c r="AM112" s="195"/>
      <c r="AN112" s="195"/>
      <c r="AO112" s="195"/>
      <c r="AP112" s="195"/>
      <c r="AQ112" s="195"/>
      <c r="AR112" s="195"/>
      <c r="AS112" s="195"/>
      <c r="AT112" s="195"/>
      <c r="AU112" s="195"/>
      <c r="AV112" s="195"/>
      <c r="AW112" s="195"/>
      <c r="AX112" s="195"/>
      <c r="AY112" s="195"/>
      <c r="AZ112" s="195"/>
      <c r="BA112" s="195"/>
    </row>
    <row r="113" spans="1:53" hidden="1" x14ac:dyDescent="0.2">
      <c r="A113" s="189"/>
      <c r="B113" s="168"/>
      <c r="C113" s="168"/>
      <c r="D113" s="168"/>
      <c r="E113" s="168"/>
      <c r="F113" s="168"/>
      <c r="G113" s="168"/>
      <c r="H113" s="168"/>
      <c r="I113" s="168"/>
      <c r="J113" s="168"/>
      <c r="K113" s="168"/>
      <c r="L113" s="168"/>
      <c r="M113" s="168"/>
      <c r="N113" s="168"/>
      <c r="O113" s="168"/>
      <c r="P113" s="170"/>
      <c r="Q113" s="170"/>
      <c r="R113" s="170"/>
      <c r="S113" s="170"/>
      <c r="T113" s="170"/>
      <c r="U113" s="73">
        <f t="shared" si="12"/>
        <v>0</v>
      </c>
      <c r="V113" s="195"/>
      <c r="W113" s="195"/>
      <c r="X113" s="195"/>
      <c r="Y113" s="195"/>
      <c r="Z113" s="195"/>
      <c r="AA113" s="195"/>
      <c r="AB113" s="195"/>
      <c r="AC113" s="195"/>
      <c r="AD113" s="195"/>
      <c r="AE113" s="195"/>
      <c r="AF113" s="195"/>
      <c r="AG113" s="195"/>
      <c r="AH113" s="195"/>
      <c r="AI113" s="195"/>
      <c r="AJ113" s="195"/>
      <c r="AK113" s="195"/>
      <c r="AL113" s="195"/>
      <c r="AM113" s="195"/>
      <c r="AN113" s="195"/>
      <c r="AO113" s="195"/>
      <c r="AP113" s="195"/>
      <c r="AQ113" s="195"/>
      <c r="AR113" s="195"/>
      <c r="AS113" s="195"/>
      <c r="AT113" s="195"/>
      <c r="AU113" s="195"/>
      <c r="AV113" s="195"/>
      <c r="AW113" s="195"/>
      <c r="AX113" s="195"/>
      <c r="AY113" s="195"/>
      <c r="AZ113" s="195"/>
      <c r="BA113" s="195"/>
    </row>
    <row r="114" spans="1:53" hidden="1" x14ac:dyDescent="0.2">
      <c r="A114" s="189"/>
      <c r="B114" s="168"/>
      <c r="C114" s="168"/>
      <c r="D114" s="168"/>
      <c r="E114" s="168"/>
      <c r="F114" s="168"/>
      <c r="G114" s="168"/>
      <c r="H114" s="168"/>
      <c r="I114" s="168"/>
      <c r="J114" s="168"/>
      <c r="K114" s="168"/>
      <c r="L114" s="168"/>
      <c r="M114" s="168"/>
      <c r="N114" s="168"/>
      <c r="O114" s="168"/>
      <c r="P114" s="170"/>
      <c r="Q114" s="170"/>
      <c r="R114" s="170"/>
      <c r="S114" s="170"/>
      <c r="T114" s="170"/>
      <c r="U114" s="73">
        <f t="shared" si="12"/>
        <v>0</v>
      </c>
      <c r="V114" s="195"/>
      <c r="W114" s="195"/>
      <c r="X114" s="195"/>
      <c r="Y114" s="195"/>
      <c r="Z114" s="195"/>
      <c r="AA114" s="195"/>
      <c r="AB114" s="195"/>
      <c r="AC114" s="195"/>
      <c r="AD114" s="195"/>
      <c r="AE114" s="195"/>
      <c r="AF114" s="195"/>
      <c r="AG114" s="195"/>
      <c r="AH114" s="195"/>
      <c r="AI114" s="195"/>
      <c r="AJ114" s="195"/>
      <c r="AK114" s="195"/>
      <c r="AL114" s="195"/>
      <c r="AM114" s="195"/>
      <c r="AN114" s="195"/>
      <c r="AO114" s="195"/>
      <c r="AP114" s="195"/>
      <c r="AQ114" s="195"/>
      <c r="AR114" s="195"/>
      <c r="AS114" s="195"/>
      <c r="AT114" s="195"/>
      <c r="AU114" s="195"/>
      <c r="AV114" s="195"/>
      <c r="AW114" s="195"/>
      <c r="AX114" s="195"/>
      <c r="AY114" s="195"/>
      <c r="AZ114" s="195"/>
      <c r="BA114" s="195"/>
    </row>
    <row r="115" spans="1:53" hidden="1" x14ac:dyDescent="0.2">
      <c r="A115" s="189"/>
      <c r="B115" s="168"/>
      <c r="C115" s="168"/>
      <c r="D115" s="168"/>
      <c r="E115" s="168"/>
      <c r="F115" s="168"/>
      <c r="G115" s="168"/>
      <c r="H115" s="168"/>
      <c r="I115" s="168"/>
      <c r="J115" s="168"/>
      <c r="K115" s="168"/>
      <c r="L115" s="168"/>
      <c r="M115" s="168"/>
      <c r="N115" s="168"/>
      <c r="O115" s="168"/>
      <c r="P115" s="170"/>
      <c r="Q115" s="170"/>
      <c r="R115" s="170"/>
      <c r="S115" s="170"/>
      <c r="T115" s="170"/>
      <c r="U115" s="73">
        <f t="shared" si="12"/>
        <v>0</v>
      </c>
      <c r="V115" s="195"/>
      <c r="W115" s="195"/>
      <c r="X115" s="195"/>
      <c r="Y115" s="195"/>
      <c r="Z115" s="195"/>
      <c r="AA115" s="195"/>
      <c r="AB115" s="195"/>
      <c r="AC115" s="195"/>
      <c r="AD115" s="195"/>
      <c r="AE115" s="195"/>
      <c r="AF115" s="195"/>
      <c r="AG115" s="195"/>
      <c r="AH115" s="195"/>
      <c r="AI115" s="195"/>
      <c r="AJ115" s="195"/>
      <c r="AK115" s="195"/>
      <c r="AL115" s="195"/>
      <c r="AM115" s="195"/>
      <c r="AN115" s="195"/>
      <c r="AO115" s="195"/>
      <c r="AP115" s="195"/>
      <c r="AQ115" s="195"/>
      <c r="AR115" s="195"/>
      <c r="AS115" s="195"/>
      <c r="AT115" s="195"/>
      <c r="AU115" s="195"/>
      <c r="AV115" s="195"/>
      <c r="AW115" s="195"/>
      <c r="AX115" s="195"/>
      <c r="AY115" s="195"/>
      <c r="AZ115" s="195"/>
      <c r="BA115" s="195"/>
    </row>
    <row r="116" spans="1:53" hidden="1" x14ac:dyDescent="0.2">
      <c r="A116" s="189"/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70"/>
      <c r="Q116" s="170"/>
      <c r="R116" s="170"/>
      <c r="S116" s="170"/>
      <c r="T116" s="170"/>
      <c r="U116" s="73">
        <f t="shared" si="12"/>
        <v>0</v>
      </c>
      <c r="V116" s="195"/>
      <c r="W116" s="195"/>
      <c r="X116" s="195"/>
      <c r="Y116" s="195"/>
      <c r="Z116" s="195"/>
      <c r="AA116" s="195"/>
      <c r="AB116" s="195"/>
      <c r="AC116" s="195"/>
      <c r="AD116" s="195"/>
      <c r="AE116" s="195"/>
      <c r="AF116" s="195"/>
      <c r="AG116" s="195"/>
      <c r="AH116" s="195"/>
      <c r="AI116" s="195"/>
      <c r="AJ116" s="195"/>
      <c r="AK116" s="195"/>
      <c r="AL116" s="195"/>
      <c r="AM116" s="195"/>
      <c r="AN116" s="195"/>
      <c r="AO116" s="195"/>
      <c r="AP116" s="195"/>
      <c r="AQ116" s="195"/>
      <c r="AR116" s="195"/>
      <c r="AS116" s="195"/>
      <c r="AT116" s="195"/>
      <c r="AU116" s="195"/>
      <c r="AV116" s="195"/>
      <c r="AW116" s="195"/>
      <c r="AX116" s="195"/>
      <c r="AY116" s="195"/>
      <c r="AZ116" s="195"/>
      <c r="BA116" s="195"/>
    </row>
    <row r="117" spans="1:53" hidden="1" x14ac:dyDescent="0.2">
      <c r="A117" s="189"/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168"/>
      <c r="O117" s="168"/>
      <c r="P117" s="170"/>
      <c r="Q117" s="170"/>
      <c r="R117" s="170"/>
      <c r="S117" s="170"/>
      <c r="T117" s="170"/>
      <c r="U117" s="73">
        <f t="shared" si="12"/>
        <v>0</v>
      </c>
      <c r="V117" s="195"/>
      <c r="W117" s="195"/>
      <c r="X117" s="195"/>
      <c r="Y117" s="195"/>
      <c r="Z117" s="195"/>
      <c r="AA117" s="195"/>
      <c r="AB117" s="195"/>
      <c r="AC117" s="195"/>
      <c r="AD117" s="195"/>
      <c r="AE117" s="195"/>
      <c r="AF117" s="195"/>
      <c r="AG117" s="195"/>
      <c r="AH117" s="195"/>
      <c r="AI117" s="195"/>
      <c r="AJ117" s="195"/>
      <c r="AK117" s="195"/>
      <c r="AL117" s="195"/>
      <c r="AM117" s="195"/>
      <c r="AN117" s="195"/>
      <c r="AO117" s="195"/>
      <c r="AP117" s="195"/>
      <c r="AQ117" s="195"/>
      <c r="AR117" s="195"/>
      <c r="AS117" s="195"/>
      <c r="AT117" s="195"/>
      <c r="AU117" s="195"/>
      <c r="AV117" s="195"/>
      <c r="AW117" s="195"/>
      <c r="AX117" s="195"/>
      <c r="AY117" s="195"/>
      <c r="AZ117" s="195"/>
      <c r="BA117" s="195"/>
    </row>
    <row r="118" spans="1:53" hidden="1" x14ac:dyDescent="0.2">
      <c r="A118" s="189"/>
      <c r="B118" s="168"/>
      <c r="C118" s="168"/>
      <c r="D118" s="168"/>
      <c r="E118" s="168"/>
      <c r="F118" s="168"/>
      <c r="G118" s="168"/>
      <c r="H118" s="168"/>
      <c r="I118" s="168"/>
      <c r="J118" s="168"/>
      <c r="K118" s="168"/>
      <c r="L118" s="168"/>
      <c r="M118" s="168"/>
      <c r="N118" s="168"/>
      <c r="O118" s="168"/>
      <c r="P118" s="170"/>
      <c r="Q118" s="170"/>
      <c r="R118" s="170"/>
      <c r="S118" s="170"/>
      <c r="T118" s="170"/>
      <c r="U118" s="73">
        <f t="shared" si="12"/>
        <v>0</v>
      </c>
      <c r="V118" s="195"/>
      <c r="W118" s="195"/>
      <c r="X118" s="195"/>
      <c r="Y118" s="195"/>
      <c r="Z118" s="195"/>
      <c r="AA118" s="195"/>
      <c r="AB118" s="195"/>
      <c r="AC118" s="195"/>
      <c r="AD118" s="195"/>
      <c r="AE118" s="195"/>
      <c r="AF118" s="195"/>
      <c r="AG118" s="195"/>
      <c r="AH118" s="195"/>
      <c r="AI118" s="195"/>
      <c r="AJ118" s="195"/>
      <c r="AK118" s="195"/>
      <c r="AL118" s="195"/>
      <c r="AM118" s="195"/>
      <c r="AN118" s="195"/>
      <c r="AO118" s="195"/>
      <c r="AP118" s="195"/>
      <c r="AQ118" s="195"/>
      <c r="AR118" s="195"/>
      <c r="AS118" s="195"/>
      <c r="AT118" s="195"/>
      <c r="AU118" s="195"/>
      <c r="AV118" s="195"/>
      <c r="AW118" s="195"/>
      <c r="AX118" s="195"/>
      <c r="AY118" s="195"/>
      <c r="AZ118" s="195"/>
      <c r="BA118" s="195"/>
    </row>
    <row r="119" spans="1:53" hidden="1" x14ac:dyDescent="0.2">
      <c r="A119" s="189"/>
      <c r="B119" s="168"/>
      <c r="C119" s="168"/>
      <c r="D119" s="168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70"/>
      <c r="Q119" s="170"/>
      <c r="R119" s="170"/>
      <c r="S119" s="170"/>
      <c r="T119" s="170"/>
      <c r="U119" s="73">
        <f t="shared" si="12"/>
        <v>0</v>
      </c>
      <c r="V119" s="195"/>
      <c r="W119" s="195"/>
      <c r="X119" s="195"/>
      <c r="Y119" s="195"/>
      <c r="Z119" s="195"/>
      <c r="AA119" s="195"/>
      <c r="AB119" s="195"/>
      <c r="AC119" s="195"/>
      <c r="AD119" s="195"/>
      <c r="AE119" s="195"/>
      <c r="AF119" s="195"/>
      <c r="AG119" s="195"/>
      <c r="AH119" s="195"/>
      <c r="AI119" s="195"/>
      <c r="AJ119" s="195"/>
      <c r="AK119" s="195"/>
      <c r="AL119" s="195"/>
      <c r="AM119" s="195"/>
      <c r="AN119" s="195"/>
      <c r="AO119" s="195"/>
      <c r="AP119" s="195"/>
      <c r="AQ119" s="195"/>
      <c r="AR119" s="195"/>
      <c r="AS119" s="195"/>
      <c r="AT119" s="195"/>
      <c r="AU119" s="195"/>
      <c r="AV119" s="195"/>
      <c r="AW119" s="195"/>
      <c r="AX119" s="195"/>
      <c r="AY119" s="195"/>
      <c r="AZ119" s="195"/>
      <c r="BA119" s="195"/>
    </row>
    <row r="120" spans="1:53" hidden="1" x14ac:dyDescent="0.2">
      <c r="A120" s="189"/>
      <c r="B120" s="168"/>
      <c r="C120" s="168"/>
      <c r="D120" s="168"/>
      <c r="E120" s="168"/>
      <c r="F120" s="168"/>
      <c r="G120" s="168"/>
      <c r="H120" s="168"/>
      <c r="I120" s="168"/>
      <c r="J120" s="168"/>
      <c r="K120" s="168"/>
      <c r="L120" s="168"/>
      <c r="M120" s="168"/>
      <c r="N120" s="168"/>
      <c r="O120" s="168"/>
      <c r="P120" s="170"/>
      <c r="Q120" s="170"/>
      <c r="R120" s="170"/>
      <c r="S120" s="170"/>
      <c r="T120" s="170"/>
      <c r="U120" s="73">
        <f t="shared" si="12"/>
        <v>0</v>
      </c>
      <c r="V120" s="195"/>
      <c r="W120" s="195"/>
      <c r="X120" s="195"/>
      <c r="Y120" s="195"/>
      <c r="Z120" s="195"/>
      <c r="AA120" s="195"/>
      <c r="AB120" s="195"/>
      <c r="AC120" s="195"/>
      <c r="AD120" s="195"/>
      <c r="AE120" s="195"/>
      <c r="AF120" s="195"/>
      <c r="AG120" s="195"/>
      <c r="AH120" s="195"/>
      <c r="AI120" s="195"/>
      <c r="AJ120" s="195"/>
      <c r="AK120" s="195"/>
      <c r="AL120" s="195"/>
      <c r="AM120" s="195"/>
      <c r="AN120" s="195"/>
      <c r="AO120" s="195"/>
      <c r="AP120" s="195"/>
      <c r="AQ120" s="195"/>
      <c r="AR120" s="195"/>
      <c r="AS120" s="195"/>
      <c r="AT120" s="195"/>
      <c r="AU120" s="195"/>
      <c r="AV120" s="195"/>
      <c r="AW120" s="195"/>
      <c r="AX120" s="195"/>
      <c r="AY120" s="195"/>
      <c r="AZ120" s="195"/>
      <c r="BA120" s="195"/>
    </row>
    <row r="121" spans="1:53" hidden="1" x14ac:dyDescent="0.2">
      <c r="A121" s="189"/>
      <c r="B121" s="168"/>
      <c r="C121" s="168"/>
      <c r="D121" s="168"/>
      <c r="E121" s="168"/>
      <c r="F121" s="168"/>
      <c r="G121" s="168"/>
      <c r="H121" s="168"/>
      <c r="I121" s="168"/>
      <c r="J121" s="168"/>
      <c r="K121" s="168"/>
      <c r="L121" s="168"/>
      <c r="M121" s="168"/>
      <c r="N121" s="168"/>
      <c r="O121" s="168"/>
      <c r="P121" s="170"/>
      <c r="Q121" s="170"/>
      <c r="R121" s="170"/>
      <c r="S121" s="170"/>
      <c r="T121" s="170"/>
      <c r="U121" s="73">
        <f t="shared" si="12"/>
        <v>0</v>
      </c>
      <c r="V121" s="195"/>
      <c r="W121" s="195"/>
      <c r="X121" s="195"/>
      <c r="Y121" s="195"/>
      <c r="Z121" s="195"/>
      <c r="AA121" s="195"/>
      <c r="AB121" s="195"/>
      <c r="AC121" s="195"/>
      <c r="AD121" s="195"/>
      <c r="AE121" s="195"/>
      <c r="AF121" s="195"/>
      <c r="AG121" s="195"/>
      <c r="AH121" s="195"/>
      <c r="AI121" s="195"/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195"/>
      <c r="AT121" s="195"/>
      <c r="AU121" s="195"/>
      <c r="AV121" s="195"/>
      <c r="AW121" s="195"/>
      <c r="AX121" s="195"/>
      <c r="AY121" s="195"/>
      <c r="AZ121" s="195"/>
      <c r="BA121" s="195"/>
    </row>
    <row r="122" spans="1:53" hidden="1" x14ac:dyDescent="0.2">
      <c r="A122" s="189"/>
      <c r="B122" s="168"/>
      <c r="C122" s="168"/>
      <c r="D122" s="168"/>
      <c r="E122" s="168"/>
      <c r="F122" s="168"/>
      <c r="G122" s="168"/>
      <c r="H122" s="168"/>
      <c r="I122" s="168"/>
      <c r="J122" s="168"/>
      <c r="K122" s="168"/>
      <c r="L122" s="168"/>
      <c r="M122" s="168"/>
      <c r="N122" s="168"/>
      <c r="O122" s="168"/>
      <c r="P122" s="170"/>
      <c r="Q122" s="170"/>
      <c r="R122" s="170"/>
      <c r="S122" s="170"/>
      <c r="T122" s="170"/>
      <c r="U122" s="73">
        <f t="shared" si="12"/>
        <v>0</v>
      </c>
      <c r="V122" s="195"/>
      <c r="W122" s="195"/>
      <c r="X122" s="195"/>
      <c r="Y122" s="195"/>
      <c r="Z122" s="195"/>
      <c r="AA122" s="195"/>
      <c r="AB122" s="195"/>
      <c r="AC122" s="195"/>
      <c r="AD122" s="195"/>
      <c r="AE122" s="195"/>
      <c r="AF122" s="195"/>
      <c r="AG122" s="195"/>
      <c r="AH122" s="195"/>
      <c r="AI122" s="195"/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5"/>
      <c r="AT122" s="195"/>
      <c r="AU122" s="195"/>
      <c r="AV122" s="195"/>
      <c r="AW122" s="195"/>
      <c r="AX122" s="195"/>
      <c r="AY122" s="195"/>
      <c r="AZ122" s="195"/>
      <c r="BA122" s="195"/>
    </row>
    <row r="123" spans="1:53" hidden="1" x14ac:dyDescent="0.2">
      <c r="A123" s="189"/>
      <c r="B123" s="168"/>
      <c r="C123" s="168"/>
      <c r="D123" s="168"/>
      <c r="E123" s="168"/>
      <c r="F123" s="168"/>
      <c r="G123" s="168"/>
      <c r="H123" s="168"/>
      <c r="I123" s="168"/>
      <c r="J123" s="168"/>
      <c r="K123" s="168"/>
      <c r="L123" s="168"/>
      <c r="M123" s="168"/>
      <c r="N123" s="168"/>
      <c r="O123" s="168"/>
      <c r="P123" s="170"/>
      <c r="Q123" s="170"/>
      <c r="R123" s="170"/>
      <c r="S123" s="170"/>
      <c r="T123" s="170"/>
      <c r="U123" s="73">
        <f t="shared" si="12"/>
        <v>0</v>
      </c>
      <c r="V123" s="195"/>
      <c r="W123" s="195"/>
      <c r="X123" s="195"/>
      <c r="Y123" s="195"/>
      <c r="Z123" s="195"/>
      <c r="AA123" s="195"/>
      <c r="AB123" s="195"/>
      <c r="AC123" s="195"/>
      <c r="AD123" s="195"/>
      <c r="AE123" s="195"/>
      <c r="AF123" s="195"/>
      <c r="AG123" s="195"/>
      <c r="AH123" s="195"/>
      <c r="AI123" s="195"/>
      <c r="AJ123" s="195"/>
      <c r="AK123" s="195"/>
      <c r="AL123" s="195"/>
      <c r="AM123" s="195"/>
      <c r="AN123" s="195"/>
      <c r="AO123" s="195"/>
      <c r="AP123" s="195"/>
      <c r="AQ123" s="195"/>
      <c r="AR123" s="195"/>
      <c r="AS123" s="195"/>
      <c r="AT123" s="195"/>
      <c r="AU123" s="195"/>
      <c r="AV123" s="195"/>
      <c r="AW123" s="195"/>
      <c r="AX123" s="195"/>
      <c r="AY123" s="195"/>
      <c r="AZ123" s="195"/>
      <c r="BA123" s="195"/>
    </row>
    <row r="124" spans="1:53" hidden="1" x14ac:dyDescent="0.2">
      <c r="A124" s="189"/>
      <c r="B124" s="168"/>
      <c r="C124" s="168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70"/>
      <c r="Q124" s="170"/>
      <c r="R124" s="170"/>
      <c r="S124" s="170"/>
      <c r="T124" s="170"/>
      <c r="U124" s="73">
        <f t="shared" si="12"/>
        <v>0</v>
      </c>
      <c r="V124" s="195"/>
      <c r="W124" s="195"/>
      <c r="X124" s="195"/>
      <c r="Y124" s="195"/>
      <c r="Z124" s="195"/>
      <c r="AA124" s="195"/>
      <c r="AB124" s="195"/>
      <c r="AC124" s="195"/>
      <c r="AD124" s="195"/>
      <c r="AE124" s="195"/>
      <c r="AF124" s="195"/>
      <c r="AG124" s="195"/>
      <c r="AH124" s="195"/>
      <c r="AI124" s="195"/>
      <c r="AJ124" s="195"/>
      <c r="AK124" s="195"/>
      <c r="AL124" s="195"/>
      <c r="AM124" s="195"/>
      <c r="AN124" s="195"/>
      <c r="AO124" s="195"/>
      <c r="AP124" s="195"/>
      <c r="AQ124" s="195"/>
      <c r="AR124" s="195"/>
      <c r="AS124" s="195"/>
      <c r="AT124" s="195"/>
      <c r="AU124" s="195"/>
      <c r="AV124" s="195"/>
      <c r="AW124" s="195"/>
      <c r="AX124" s="195"/>
      <c r="AY124" s="195"/>
      <c r="AZ124" s="195"/>
      <c r="BA124" s="195"/>
    </row>
    <row r="125" spans="1:53" hidden="1" x14ac:dyDescent="0.2">
      <c r="A125" s="189"/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70"/>
      <c r="Q125" s="170"/>
      <c r="R125" s="170"/>
      <c r="S125" s="170"/>
      <c r="T125" s="170"/>
      <c r="U125" s="73">
        <f t="shared" si="12"/>
        <v>0</v>
      </c>
      <c r="V125" s="195"/>
      <c r="W125" s="195"/>
      <c r="X125" s="195"/>
      <c r="Y125" s="195"/>
      <c r="Z125" s="195"/>
      <c r="AA125" s="195"/>
      <c r="AB125" s="195"/>
      <c r="AC125" s="195"/>
      <c r="AD125" s="195"/>
      <c r="AE125" s="195"/>
      <c r="AF125" s="195"/>
      <c r="AG125" s="195"/>
      <c r="AH125" s="195"/>
      <c r="AI125" s="195"/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  <c r="AV125" s="195"/>
      <c r="AW125" s="195"/>
      <c r="AX125" s="195"/>
      <c r="AY125" s="195"/>
      <c r="AZ125" s="195"/>
      <c r="BA125" s="195"/>
    </row>
    <row r="126" spans="1:53" hidden="1" x14ac:dyDescent="0.2">
      <c r="A126" s="189"/>
      <c r="B126" s="168"/>
      <c r="C126" s="168"/>
      <c r="D126" s="168"/>
      <c r="E126" s="168"/>
      <c r="F126" s="168"/>
      <c r="G126" s="168"/>
      <c r="H126" s="168"/>
      <c r="I126" s="168"/>
      <c r="J126" s="168"/>
      <c r="K126" s="168"/>
      <c r="L126" s="168"/>
      <c r="M126" s="168"/>
      <c r="N126" s="168"/>
      <c r="O126" s="168"/>
      <c r="P126" s="170"/>
      <c r="Q126" s="170"/>
      <c r="R126" s="170"/>
      <c r="S126" s="170"/>
      <c r="T126" s="170"/>
      <c r="U126" s="73">
        <f t="shared" si="12"/>
        <v>0</v>
      </c>
      <c r="V126" s="195"/>
      <c r="W126" s="195"/>
      <c r="X126" s="195"/>
      <c r="Y126" s="195"/>
      <c r="Z126" s="195"/>
      <c r="AA126" s="195"/>
      <c r="AB126" s="195"/>
      <c r="AC126" s="195"/>
      <c r="AD126" s="195"/>
      <c r="AE126" s="195"/>
      <c r="AF126" s="195"/>
      <c r="AG126" s="195"/>
      <c r="AH126" s="195"/>
      <c r="AI126" s="195"/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5"/>
      <c r="AU126" s="195"/>
      <c r="AV126" s="195"/>
      <c r="AW126" s="195"/>
      <c r="AX126" s="195"/>
      <c r="AY126" s="195"/>
      <c r="AZ126" s="195"/>
      <c r="BA126" s="195"/>
    </row>
    <row r="127" spans="1:53" hidden="1" x14ac:dyDescent="0.2">
      <c r="A127" s="189"/>
      <c r="B127" s="168"/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70"/>
      <c r="Q127" s="170"/>
      <c r="R127" s="170"/>
      <c r="S127" s="170"/>
      <c r="T127" s="170"/>
      <c r="U127" s="73">
        <f t="shared" si="12"/>
        <v>0</v>
      </c>
      <c r="V127" s="195"/>
      <c r="W127" s="195"/>
      <c r="X127" s="195"/>
      <c r="Y127" s="195"/>
      <c r="Z127" s="195"/>
      <c r="AA127" s="195"/>
      <c r="AB127" s="195"/>
      <c r="AC127" s="195"/>
      <c r="AD127" s="195"/>
      <c r="AE127" s="195"/>
      <c r="AF127" s="195"/>
      <c r="AG127" s="195"/>
      <c r="AH127" s="195"/>
      <c r="AI127" s="195"/>
      <c r="AJ127" s="195"/>
      <c r="AK127" s="195"/>
      <c r="AL127" s="195"/>
      <c r="AM127" s="195"/>
      <c r="AN127" s="195"/>
      <c r="AO127" s="195"/>
      <c r="AP127" s="195"/>
      <c r="AQ127" s="195"/>
      <c r="AR127" s="195"/>
      <c r="AS127" s="195"/>
      <c r="AT127" s="195"/>
      <c r="AU127" s="195"/>
      <c r="AV127" s="195"/>
      <c r="AW127" s="195"/>
      <c r="AX127" s="195"/>
      <c r="AY127" s="195"/>
      <c r="AZ127" s="195"/>
      <c r="BA127" s="195"/>
    </row>
    <row r="128" spans="1:53" hidden="1" x14ac:dyDescent="0.2">
      <c r="A128" s="189"/>
      <c r="B128" s="168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70"/>
      <c r="Q128" s="170"/>
      <c r="R128" s="170"/>
      <c r="S128" s="170"/>
      <c r="T128" s="170"/>
      <c r="U128" s="73">
        <f t="shared" si="12"/>
        <v>0</v>
      </c>
      <c r="V128" s="195"/>
      <c r="W128" s="195"/>
      <c r="X128" s="195"/>
      <c r="Y128" s="195"/>
      <c r="Z128" s="195"/>
      <c r="AA128" s="195"/>
      <c r="AB128" s="195"/>
      <c r="AC128" s="195"/>
      <c r="AD128" s="195"/>
      <c r="AE128" s="195"/>
      <c r="AF128" s="195"/>
      <c r="AG128" s="195"/>
      <c r="AH128" s="195"/>
      <c r="AI128" s="195"/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AV128" s="195"/>
      <c r="AW128" s="195"/>
      <c r="AX128" s="195"/>
      <c r="AY128" s="195"/>
      <c r="AZ128" s="195"/>
      <c r="BA128" s="195"/>
    </row>
    <row r="129" spans="1:53" hidden="1" x14ac:dyDescent="0.2">
      <c r="A129" s="189"/>
      <c r="B129" s="168"/>
      <c r="C129" s="168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170"/>
      <c r="Q129" s="170"/>
      <c r="R129" s="170"/>
      <c r="S129" s="170"/>
      <c r="T129" s="170"/>
      <c r="U129" s="73">
        <f t="shared" si="12"/>
        <v>0</v>
      </c>
      <c r="V129" s="195"/>
      <c r="W129" s="195"/>
      <c r="X129" s="195"/>
      <c r="Y129" s="195"/>
      <c r="Z129" s="195"/>
      <c r="AA129" s="195"/>
      <c r="AB129" s="195"/>
      <c r="AC129" s="195"/>
      <c r="AD129" s="195"/>
      <c r="AE129" s="195"/>
      <c r="AF129" s="195"/>
      <c r="AG129" s="195"/>
      <c r="AH129" s="195"/>
      <c r="AI129" s="195"/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  <c r="AU129" s="195"/>
      <c r="AV129" s="195"/>
      <c r="AW129" s="195"/>
      <c r="AX129" s="195"/>
      <c r="AY129" s="195"/>
      <c r="AZ129" s="195"/>
      <c r="BA129" s="195"/>
    </row>
    <row r="130" spans="1:53" hidden="1" x14ac:dyDescent="0.2">
      <c r="A130" s="189"/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70"/>
      <c r="Q130" s="170"/>
      <c r="R130" s="170"/>
      <c r="S130" s="170"/>
      <c r="T130" s="170"/>
      <c r="U130" s="73">
        <f t="shared" si="12"/>
        <v>0</v>
      </c>
      <c r="V130" s="195"/>
      <c r="W130" s="195"/>
      <c r="X130" s="195"/>
      <c r="Y130" s="195"/>
      <c r="Z130" s="195"/>
      <c r="AA130" s="195"/>
      <c r="AB130" s="195"/>
      <c r="AC130" s="195"/>
      <c r="AD130" s="195"/>
      <c r="AE130" s="195"/>
      <c r="AF130" s="195"/>
      <c r="AG130" s="195"/>
      <c r="AH130" s="195"/>
      <c r="AI130" s="195"/>
      <c r="AJ130" s="195"/>
      <c r="AK130" s="195"/>
      <c r="AL130" s="195"/>
      <c r="AM130" s="195"/>
      <c r="AN130" s="195"/>
      <c r="AO130" s="195"/>
      <c r="AP130" s="195"/>
      <c r="AQ130" s="195"/>
      <c r="AR130" s="195"/>
      <c r="AS130" s="195"/>
      <c r="AT130" s="195"/>
      <c r="AU130" s="195"/>
      <c r="AV130" s="195"/>
      <c r="AW130" s="195"/>
      <c r="AX130" s="195"/>
      <c r="AY130" s="195"/>
      <c r="AZ130" s="195"/>
      <c r="BA130" s="195"/>
    </row>
    <row r="131" spans="1:53" hidden="1" x14ac:dyDescent="0.2">
      <c r="A131" s="189"/>
      <c r="B131" s="168"/>
      <c r="C131" s="168"/>
      <c r="D131" s="168"/>
      <c r="E131" s="168"/>
      <c r="F131" s="168"/>
      <c r="G131" s="168"/>
      <c r="H131" s="168"/>
      <c r="I131" s="168"/>
      <c r="J131" s="168"/>
      <c r="K131" s="168"/>
      <c r="L131" s="168"/>
      <c r="M131" s="168"/>
      <c r="N131" s="168"/>
      <c r="O131" s="168"/>
      <c r="P131" s="170"/>
      <c r="Q131" s="170"/>
      <c r="R131" s="170"/>
      <c r="S131" s="170"/>
      <c r="T131" s="170"/>
      <c r="U131" s="73">
        <f t="shared" si="12"/>
        <v>0</v>
      </c>
      <c r="V131" s="195"/>
      <c r="W131" s="195"/>
      <c r="X131" s="195"/>
      <c r="Y131" s="195"/>
      <c r="Z131" s="195"/>
      <c r="AA131" s="195"/>
      <c r="AB131" s="195"/>
      <c r="AC131" s="195"/>
      <c r="AD131" s="195"/>
      <c r="AE131" s="195"/>
      <c r="AF131" s="195"/>
      <c r="AG131" s="195"/>
      <c r="AH131" s="195"/>
      <c r="AI131" s="195"/>
      <c r="AJ131" s="195"/>
      <c r="AK131" s="195"/>
      <c r="AL131" s="195"/>
      <c r="AM131" s="195"/>
      <c r="AN131" s="195"/>
      <c r="AO131" s="195"/>
      <c r="AP131" s="195"/>
      <c r="AQ131" s="195"/>
      <c r="AR131" s="195"/>
      <c r="AS131" s="195"/>
      <c r="AT131" s="195"/>
      <c r="AU131" s="195"/>
      <c r="AV131" s="195"/>
      <c r="AW131" s="195"/>
      <c r="AX131" s="195"/>
      <c r="AY131" s="195"/>
      <c r="AZ131" s="195"/>
      <c r="BA131" s="195"/>
    </row>
    <row r="132" spans="1:53" hidden="1" x14ac:dyDescent="0.2">
      <c r="A132" s="189"/>
      <c r="B132" s="168"/>
      <c r="C132" s="168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70"/>
      <c r="Q132" s="170"/>
      <c r="R132" s="170"/>
      <c r="S132" s="170"/>
      <c r="T132" s="170"/>
      <c r="U132" s="73">
        <f t="shared" si="12"/>
        <v>0</v>
      </c>
      <c r="V132" s="195"/>
      <c r="W132" s="195"/>
      <c r="X132" s="195"/>
      <c r="Y132" s="195"/>
      <c r="Z132" s="195"/>
      <c r="AA132" s="195"/>
      <c r="AB132" s="195"/>
      <c r="AC132" s="195"/>
      <c r="AD132" s="195"/>
      <c r="AE132" s="195"/>
      <c r="AF132" s="195"/>
      <c r="AG132" s="195"/>
      <c r="AH132" s="195"/>
      <c r="AI132" s="195"/>
      <c r="AJ132" s="195"/>
      <c r="AK132" s="195"/>
      <c r="AL132" s="195"/>
      <c r="AM132" s="195"/>
      <c r="AN132" s="195"/>
      <c r="AO132" s="195"/>
      <c r="AP132" s="195"/>
      <c r="AQ132" s="195"/>
      <c r="AR132" s="195"/>
      <c r="AS132" s="195"/>
      <c r="AT132" s="195"/>
      <c r="AU132" s="195"/>
      <c r="AV132" s="195"/>
      <c r="AW132" s="195"/>
      <c r="AX132" s="195"/>
      <c r="AY132" s="195"/>
      <c r="AZ132" s="195"/>
      <c r="BA132" s="195"/>
    </row>
    <row r="133" spans="1:53" x14ac:dyDescent="0.2">
      <c r="A133" s="401" t="s">
        <v>212</v>
      </c>
      <c r="B133" s="402"/>
      <c r="C133" s="402"/>
      <c r="D133" s="402"/>
      <c r="E133" s="250"/>
      <c r="F133" s="250"/>
      <c r="G133" s="122"/>
      <c r="H133" s="122"/>
      <c r="I133" s="122"/>
      <c r="J133" s="122"/>
      <c r="K133" s="122"/>
      <c r="L133" s="122"/>
      <c r="M133" s="122"/>
      <c r="N133" s="122"/>
      <c r="O133" s="122"/>
      <c r="P133" s="126">
        <f t="shared" ref="P133:U133" si="13">SUM(P99:P132)</f>
        <v>0</v>
      </c>
      <c r="Q133" s="126">
        <f t="shared" si="13"/>
        <v>0</v>
      </c>
      <c r="R133" s="126">
        <f t="shared" si="13"/>
        <v>0</v>
      </c>
      <c r="S133" s="126">
        <f t="shared" si="13"/>
        <v>0</v>
      </c>
      <c r="T133" s="126">
        <f t="shared" si="13"/>
        <v>0</v>
      </c>
      <c r="U133" s="126">
        <f t="shared" si="13"/>
        <v>0</v>
      </c>
      <c r="V133" s="195"/>
      <c r="W133" s="195"/>
      <c r="X133" s="195"/>
      <c r="Y133" s="195"/>
      <c r="Z133" s="195"/>
      <c r="AA133" s="195"/>
      <c r="AB133" s="195"/>
      <c r="AC133" s="195"/>
      <c r="AD133" s="195"/>
      <c r="AE133" s="195"/>
      <c r="AF133" s="195"/>
      <c r="AG133" s="195"/>
      <c r="AH133" s="195"/>
      <c r="AI133" s="195"/>
      <c r="AJ133" s="195"/>
      <c r="AK133" s="195"/>
      <c r="AL133" s="195"/>
      <c r="AM133" s="195"/>
      <c r="AN133" s="195"/>
      <c r="AO133" s="195"/>
      <c r="AP133" s="195"/>
      <c r="AQ133" s="195"/>
      <c r="AR133" s="195"/>
      <c r="AS133" s="195"/>
      <c r="AT133" s="195"/>
      <c r="AU133" s="195"/>
      <c r="AV133" s="195"/>
      <c r="AW133" s="195"/>
      <c r="AX133" s="195"/>
      <c r="AY133" s="195"/>
      <c r="AZ133" s="195"/>
      <c r="BA133" s="195"/>
    </row>
    <row r="134" spans="1:53" x14ac:dyDescent="0.2">
      <c r="V134" s="195"/>
      <c r="W134" s="195"/>
      <c r="X134" s="195"/>
      <c r="Y134" s="195"/>
      <c r="Z134" s="195"/>
      <c r="AA134" s="195"/>
      <c r="AB134" s="195"/>
      <c r="AC134" s="195"/>
      <c r="AD134" s="195"/>
      <c r="AE134" s="195"/>
      <c r="AF134" s="195"/>
      <c r="AG134" s="195"/>
      <c r="AH134" s="195"/>
      <c r="AI134" s="195"/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5"/>
      <c r="AT134" s="195"/>
      <c r="AU134" s="195"/>
      <c r="AV134" s="195"/>
      <c r="AW134" s="195"/>
      <c r="AX134" s="195"/>
      <c r="AY134" s="195"/>
      <c r="AZ134" s="195"/>
      <c r="BA134" s="195"/>
    </row>
    <row r="135" spans="1:53" x14ac:dyDescent="0.2">
      <c r="A135" s="461" t="s">
        <v>202</v>
      </c>
      <c r="B135" s="462"/>
      <c r="C135" s="462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86"/>
      <c r="Q135" s="86"/>
      <c r="R135" s="86"/>
      <c r="S135" s="86"/>
      <c r="T135" s="86"/>
      <c r="U135" s="86"/>
      <c r="V135" s="195"/>
      <c r="W135" s="195"/>
      <c r="X135" s="195"/>
      <c r="Y135" s="195"/>
      <c r="Z135" s="195"/>
      <c r="AA135" s="195"/>
      <c r="AB135" s="195"/>
      <c r="AC135" s="195"/>
      <c r="AD135" s="195"/>
      <c r="AE135" s="195"/>
      <c r="AF135" s="195"/>
      <c r="AG135" s="195"/>
      <c r="AH135" s="195"/>
      <c r="AI135" s="195"/>
      <c r="AJ135" s="195"/>
      <c r="AK135" s="195"/>
      <c r="AL135" s="195"/>
      <c r="AM135" s="195"/>
      <c r="AN135" s="195"/>
      <c r="AO135" s="195"/>
      <c r="AP135" s="195"/>
      <c r="AQ135" s="195"/>
      <c r="AR135" s="195"/>
      <c r="AS135" s="195"/>
      <c r="AT135" s="195"/>
      <c r="AU135" s="195"/>
      <c r="AV135" s="195"/>
      <c r="AW135" s="195"/>
      <c r="AX135" s="195"/>
      <c r="AY135" s="195"/>
      <c r="AZ135" s="195"/>
      <c r="BA135" s="195"/>
    </row>
    <row r="136" spans="1:53" x14ac:dyDescent="0.2">
      <c r="A136" s="189"/>
      <c r="B136" s="168"/>
      <c r="C136" s="168"/>
      <c r="D136" s="168"/>
      <c r="E136" s="168"/>
      <c r="F136" s="168"/>
      <c r="G136" s="168"/>
      <c r="H136" s="168"/>
      <c r="I136" s="168"/>
      <c r="J136" s="168"/>
      <c r="K136" s="168"/>
      <c r="L136" s="168"/>
      <c r="M136" s="168"/>
      <c r="N136" s="168"/>
      <c r="O136" s="168"/>
      <c r="P136" s="170"/>
      <c r="Q136" s="170"/>
      <c r="R136" s="170"/>
      <c r="S136" s="170"/>
      <c r="T136" s="170"/>
      <c r="U136" s="73">
        <f>SUM(P136:T136)</f>
        <v>0</v>
      </c>
      <c r="V136" s="195"/>
      <c r="W136" s="195"/>
      <c r="X136" s="195"/>
      <c r="Y136" s="195"/>
      <c r="Z136" s="195"/>
      <c r="AA136" s="195"/>
      <c r="AB136" s="195"/>
      <c r="AC136" s="195"/>
      <c r="AD136" s="195"/>
      <c r="AE136" s="195"/>
      <c r="AF136" s="195"/>
      <c r="AG136" s="195"/>
      <c r="AH136" s="195"/>
      <c r="AI136" s="195"/>
      <c r="AJ136" s="195"/>
      <c r="AK136" s="195"/>
      <c r="AL136" s="195"/>
      <c r="AM136" s="195"/>
      <c r="AN136" s="195"/>
      <c r="AO136" s="195"/>
      <c r="AP136" s="195"/>
      <c r="AQ136" s="195"/>
      <c r="AR136" s="195"/>
      <c r="AS136" s="195"/>
      <c r="AT136" s="195"/>
      <c r="AU136" s="195"/>
      <c r="AV136" s="195"/>
      <c r="AW136" s="195"/>
      <c r="AX136" s="195"/>
      <c r="AY136" s="195"/>
      <c r="AZ136" s="195"/>
      <c r="BA136" s="195"/>
    </row>
    <row r="137" spans="1:53" x14ac:dyDescent="0.2">
      <c r="A137" s="189"/>
      <c r="B137" s="168"/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70"/>
      <c r="Q137" s="170"/>
      <c r="R137" s="170"/>
      <c r="S137" s="170"/>
      <c r="T137" s="170"/>
      <c r="U137" s="73">
        <f>SUM(P137:T137)</f>
        <v>0</v>
      </c>
      <c r="V137" s="195"/>
      <c r="W137" s="195"/>
      <c r="X137" s="195"/>
      <c r="Y137" s="195"/>
      <c r="Z137" s="195"/>
      <c r="AA137" s="195"/>
      <c r="AB137" s="195"/>
      <c r="AC137" s="195"/>
      <c r="AD137" s="195"/>
      <c r="AE137" s="195"/>
      <c r="AF137" s="195"/>
      <c r="AG137" s="195"/>
      <c r="AH137" s="195"/>
      <c r="AI137" s="195"/>
      <c r="AJ137" s="195"/>
      <c r="AK137" s="195"/>
      <c r="AL137" s="195"/>
      <c r="AM137" s="195"/>
      <c r="AN137" s="195"/>
      <c r="AO137" s="195"/>
      <c r="AP137" s="195"/>
      <c r="AQ137" s="195"/>
      <c r="AR137" s="195"/>
      <c r="AS137" s="195"/>
      <c r="AT137" s="195"/>
      <c r="AU137" s="195"/>
      <c r="AV137" s="195"/>
      <c r="AW137" s="195"/>
      <c r="AX137" s="195"/>
      <c r="AY137" s="195"/>
      <c r="AZ137" s="195"/>
      <c r="BA137" s="195"/>
    </row>
    <row r="138" spans="1:53" x14ac:dyDescent="0.2">
      <c r="A138" s="189"/>
      <c r="B138" s="168"/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70"/>
      <c r="Q138" s="170"/>
      <c r="R138" s="170"/>
      <c r="S138" s="170"/>
      <c r="T138" s="170"/>
      <c r="U138" s="73">
        <f>SUM(P138:T138)</f>
        <v>0</v>
      </c>
      <c r="V138" s="195"/>
      <c r="W138" s="195"/>
      <c r="X138" s="195"/>
      <c r="Y138" s="195"/>
      <c r="Z138" s="195"/>
      <c r="AA138" s="195"/>
      <c r="AB138" s="195"/>
      <c r="AC138" s="195"/>
      <c r="AD138" s="195"/>
      <c r="AE138" s="195"/>
      <c r="AF138" s="195"/>
      <c r="AG138" s="195"/>
      <c r="AH138" s="195"/>
      <c r="AI138" s="195"/>
      <c r="AJ138" s="195"/>
      <c r="AK138" s="195"/>
      <c r="AL138" s="195"/>
      <c r="AM138" s="195"/>
      <c r="AN138" s="195"/>
      <c r="AO138" s="195"/>
      <c r="AP138" s="195"/>
      <c r="AQ138" s="195"/>
      <c r="AR138" s="195"/>
      <c r="AS138" s="195"/>
      <c r="AT138" s="195"/>
      <c r="AU138" s="195"/>
      <c r="AV138" s="195"/>
      <c r="AW138" s="195"/>
      <c r="AX138" s="195"/>
      <c r="AY138" s="195"/>
      <c r="AZ138" s="195"/>
      <c r="BA138" s="195"/>
    </row>
    <row r="139" spans="1:53" x14ac:dyDescent="0.2">
      <c r="A139" s="189"/>
      <c r="B139" s="168"/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70"/>
      <c r="Q139" s="170"/>
      <c r="R139" s="170"/>
      <c r="S139" s="170"/>
      <c r="T139" s="170"/>
      <c r="U139" s="73">
        <f>SUM(P139:T139)</f>
        <v>0</v>
      </c>
      <c r="V139" s="195"/>
      <c r="W139" s="195"/>
      <c r="X139" s="195"/>
      <c r="Y139" s="195"/>
      <c r="Z139" s="195"/>
      <c r="AA139" s="195"/>
      <c r="AB139" s="195"/>
      <c r="AC139" s="195"/>
      <c r="AD139" s="195"/>
      <c r="AE139" s="195"/>
      <c r="AF139" s="195"/>
      <c r="AG139" s="195"/>
      <c r="AH139" s="195"/>
      <c r="AI139" s="195"/>
      <c r="AJ139" s="195"/>
      <c r="AK139" s="195"/>
      <c r="AL139" s="195"/>
      <c r="AM139" s="195"/>
      <c r="AN139" s="195"/>
      <c r="AO139" s="195"/>
      <c r="AP139" s="195"/>
      <c r="AQ139" s="195"/>
      <c r="AR139" s="195"/>
      <c r="AS139" s="195"/>
      <c r="AT139" s="195"/>
      <c r="AU139" s="195"/>
      <c r="AV139" s="195"/>
      <c r="AW139" s="195"/>
      <c r="AX139" s="195"/>
      <c r="AY139" s="195"/>
      <c r="AZ139" s="195"/>
      <c r="BA139" s="195"/>
    </row>
    <row r="140" spans="1:53" x14ac:dyDescent="0.2">
      <c r="A140" s="401" t="s">
        <v>203</v>
      </c>
      <c r="B140" s="402"/>
      <c r="C140" s="40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6">
        <f t="shared" ref="P140:U140" si="14">SUM(P136:P139)</f>
        <v>0</v>
      </c>
      <c r="Q140" s="126">
        <f t="shared" si="14"/>
        <v>0</v>
      </c>
      <c r="R140" s="126">
        <f t="shared" si="14"/>
        <v>0</v>
      </c>
      <c r="S140" s="126">
        <f t="shared" si="14"/>
        <v>0</v>
      </c>
      <c r="T140" s="126">
        <f t="shared" si="14"/>
        <v>0</v>
      </c>
      <c r="U140" s="126">
        <f t="shared" si="14"/>
        <v>0</v>
      </c>
      <c r="V140" s="195"/>
      <c r="W140" s="195"/>
      <c r="X140" s="195"/>
      <c r="Y140" s="195"/>
      <c r="Z140" s="195"/>
      <c r="AA140" s="195"/>
      <c r="AB140" s="195"/>
      <c r="AC140" s="195"/>
      <c r="AD140" s="195"/>
      <c r="AE140" s="195"/>
      <c r="AF140" s="195"/>
      <c r="AG140" s="195"/>
      <c r="AH140" s="195"/>
      <c r="AI140" s="195"/>
      <c r="AJ140" s="195"/>
      <c r="AK140" s="195"/>
      <c r="AL140" s="195"/>
      <c r="AM140" s="195"/>
      <c r="AN140" s="195"/>
      <c r="AO140" s="195"/>
      <c r="AP140" s="195"/>
      <c r="AQ140" s="195"/>
      <c r="AR140" s="195"/>
      <c r="AS140" s="195"/>
      <c r="AT140" s="195"/>
      <c r="AU140" s="195"/>
      <c r="AV140" s="195"/>
      <c r="AW140" s="195"/>
      <c r="AX140" s="195"/>
      <c r="AY140" s="195"/>
      <c r="AZ140" s="195"/>
      <c r="BA140" s="195"/>
    </row>
    <row r="141" spans="1:53" x14ac:dyDescent="0.2">
      <c r="V141" s="195"/>
      <c r="W141" s="195"/>
      <c r="X141" s="195"/>
      <c r="Y141" s="195"/>
      <c r="Z141" s="195"/>
      <c r="AA141" s="195"/>
      <c r="AB141" s="195"/>
      <c r="AC141" s="195"/>
      <c r="AD141" s="195"/>
      <c r="AE141" s="195"/>
      <c r="AF141" s="195"/>
      <c r="AG141" s="195"/>
      <c r="AH141" s="195"/>
      <c r="AI141" s="195"/>
      <c r="AJ141" s="195"/>
      <c r="AK141" s="195"/>
      <c r="AL141" s="195"/>
      <c r="AM141" s="195"/>
      <c r="AN141" s="195"/>
      <c r="AO141" s="195"/>
      <c r="AP141" s="195"/>
      <c r="AQ141" s="195"/>
      <c r="AR141" s="195"/>
      <c r="AS141" s="195"/>
      <c r="AT141" s="195"/>
      <c r="AU141" s="195"/>
      <c r="AV141" s="195"/>
      <c r="AW141" s="195"/>
      <c r="AX141" s="195"/>
      <c r="AY141" s="195"/>
      <c r="AZ141" s="195"/>
      <c r="BA141" s="195"/>
    </row>
    <row r="142" spans="1:53" x14ac:dyDescent="0.2">
      <c r="A142" s="84" t="s">
        <v>209</v>
      </c>
      <c r="B142" s="85"/>
      <c r="C142" s="85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86"/>
      <c r="Q142" s="86"/>
      <c r="R142" s="86"/>
      <c r="S142" s="86"/>
      <c r="T142" s="86"/>
      <c r="U142" s="86" t="str">
        <f>U155</f>
        <v>Total</v>
      </c>
      <c r="V142" s="195"/>
      <c r="W142" s="195"/>
      <c r="X142" s="195"/>
      <c r="Y142" s="195"/>
      <c r="Z142" s="195"/>
      <c r="AA142" s="195"/>
      <c r="AB142" s="195"/>
      <c r="AC142" s="195"/>
      <c r="AD142" s="195"/>
      <c r="AE142" s="195"/>
      <c r="AF142" s="195"/>
      <c r="AG142" s="195"/>
      <c r="AH142" s="195"/>
      <c r="AI142" s="195"/>
      <c r="AJ142" s="195"/>
      <c r="AK142" s="195"/>
      <c r="AL142" s="195"/>
      <c r="AM142" s="195"/>
      <c r="AN142" s="195"/>
      <c r="AO142" s="195"/>
      <c r="AP142" s="195"/>
      <c r="AQ142" s="195"/>
      <c r="AR142" s="195"/>
      <c r="AS142" s="195"/>
      <c r="AT142" s="195"/>
      <c r="AU142" s="195"/>
      <c r="AV142" s="195"/>
      <c r="AW142" s="195"/>
      <c r="AX142" s="195"/>
      <c r="AY142" s="195"/>
      <c r="AZ142" s="195"/>
      <c r="BA142" s="195"/>
    </row>
    <row r="143" spans="1:53" x14ac:dyDescent="0.2">
      <c r="A143" s="189"/>
      <c r="B143" s="168"/>
      <c r="C143" s="168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78"/>
      <c r="Q143" s="178"/>
      <c r="R143" s="178"/>
      <c r="S143" s="178"/>
      <c r="T143" s="178"/>
      <c r="U143" s="77">
        <f>SUM(P143:T143)</f>
        <v>0</v>
      </c>
      <c r="V143" s="195"/>
      <c r="W143" s="195"/>
      <c r="X143" s="195"/>
      <c r="Y143" s="195"/>
      <c r="Z143" s="195"/>
      <c r="AA143" s="195"/>
      <c r="AB143" s="195"/>
      <c r="AC143" s="195"/>
      <c r="AD143" s="195"/>
      <c r="AE143" s="195"/>
      <c r="AF143" s="195"/>
      <c r="AG143" s="195"/>
      <c r="AH143" s="195"/>
      <c r="AI143" s="195"/>
      <c r="AJ143" s="195"/>
      <c r="AK143" s="195"/>
      <c r="AL143" s="195"/>
      <c r="AM143" s="195"/>
      <c r="AN143" s="195"/>
      <c r="AO143" s="195"/>
      <c r="AP143" s="195"/>
      <c r="AQ143" s="195"/>
      <c r="AR143" s="195"/>
      <c r="AS143" s="195"/>
      <c r="AT143" s="195"/>
      <c r="AU143" s="195"/>
      <c r="AV143" s="195"/>
      <c r="AW143" s="195"/>
      <c r="AX143" s="195"/>
      <c r="AY143" s="195"/>
      <c r="AZ143" s="195"/>
      <c r="BA143" s="195"/>
    </row>
    <row r="144" spans="1:53" x14ac:dyDescent="0.2">
      <c r="A144" s="189"/>
      <c r="B144" s="168"/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78"/>
      <c r="Q144" s="178"/>
      <c r="R144" s="178"/>
      <c r="S144" s="178"/>
      <c r="T144" s="178"/>
      <c r="U144" s="77">
        <f t="shared" ref="U144:U152" si="15">SUM(P144:T144)</f>
        <v>0</v>
      </c>
      <c r="V144" s="195"/>
      <c r="W144" s="195"/>
      <c r="X144" s="195"/>
      <c r="Y144" s="195"/>
      <c r="Z144" s="195"/>
      <c r="AA144" s="195"/>
      <c r="AB144" s="195"/>
      <c r="AC144" s="195"/>
      <c r="AD144" s="195"/>
      <c r="AE144" s="195"/>
      <c r="AF144" s="195"/>
      <c r="AG144" s="195"/>
      <c r="AH144" s="195"/>
      <c r="AI144" s="195"/>
      <c r="AJ144" s="195"/>
      <c r="AK144" s="195"/>
      <c r="AL144" s="195"/>
      <c r="AM144" s="195"/>
      <c r="AN144" s="195"/>
      <c r="AO144" s="195"/>
      <c r="AP144" s="195"/>
      <c r="AQ144" s="195"/>
      <c r="AR144" s="195"/>
      <c r="AS144" s="195"/>
      <c r="AT144" s="195"/>
      <c r="AU144" s="195"/>
      <c r="AV144" s="195"/>
      <c r="AW144" s="195"/>
      <c r="AX144" s="195"/>
      <c r="AY144" s="195"/>
      <c r="AZ144" s="195"/>
      <c r="BA144" s="195"/>
    </row>
    <row r="145" spans="1:53" x14ac:dyDescent="0.2">
      <c r="A145" s="189"/>
      <c r="B145" s="168"/>
      <c r="C145" s="168"/>
      <c r="D145" s="168"/>
      <c r="E145" s="168"/>
      <c r="F145" s="168"/>
      <c r="G145" s="168"/>
      <c r="H145" s="168"/>
      <c r="I145" s="168"/>
      <c r="J145" s="168"/>
      <c r="K145" s="168"/>
      <c r="L145" s="168"/>
      <c r="M145" s="168"/>
      <c r="N145" s="168"/>
      <c r="O145" s="168"/>
      <c r="P145" s="178"/>
      <c r="Q145" s="178"/>
      <c r="R145" s="178"/>
      <c r="S145" s="178"/>
      <c r="T145" s="178"/>
      <c r="U145" s="77">
        <f t="shared" si="15"/>
        <v>0</v>
      </c>
      <c r="V145" s="195"/>
      <c r="W145" s="195"/>
      <c r="X145" s="195"/>
      <c r="Y145" s="195"/>
      <c r="Z145" s="195"/>
      <c r="AA145" s="195"/>
      <c r="AB145" s="195"/>
      <c r="AC145" s="195"/>
      <c r="AD145" s="195"/>
      <c r="AE145" s="195"/>
      <c r="AF145" s="195"/>
      <c r="AG145" s="195"/>
      <c r="AH145" s="195"/>
      <c r="AI145" s="195"/>
      <c r="AJ145" s="195"/>
      <c r="AK145" s="195"/>
      <c r="AL145" s="195"/>
      <c r="AM145" s="195"/>
      <c r="AN145" s="195"/>
      <c r="AO145" s="195"/>
      <c r="AP145" s="195"/>
      <c r="AQ145" s="195"/>
      <c r="AR145" s="195"/>
      <c r="AS145" s="195"/>
      <c r="AT145" s="195"/>
      <c r="AU145" s="195"/>
      <c r="AV145" s="195"/>
      <c r="AW145" s="195"/>
      <c r="AX145" s="195"/>
      <c r="AY145" s="195"/>
      <c r="AZ145" s="195"/>
      <c r="BA145" s="195"/>
    </row>
    <row r="146" spans="1:53" x14ac:dyDescent="0.2">
      <c r="A146" s="189"/>
      <c r="B146" s="168"/>
      <c r="C146" s="168"/>
      <c r="D146" s="168"/>
      <c r="E146" s="168"/>
      <c r="F146" s="168"/>
      <c r="G146" s="168"/>
      <c r="H146" s="168"/>
      <c r="I146" s="168"/>
      <c r="J146" s="168"/>
      <c r="K146" s="168"/>
      <c r="L146" s="168"/>
      <c r="M146" s="168"/>
      <c r="N146" s="168"/>
      <c r="O146" s="168"/>
      <c r="P146" s="178"/>
      <c r="Q146" s="178"/>
      <c r="R146" s="178"/>
      <c r="S146" s="178"/>
      <c r="T146" s="178"/>
      <c r="U146" s="77">
        <f t="shared" si="15"/>
        <v>0</v>
      </c>
      <c r="V146" s="195"/>
      <c r="W146" s="195"/>
      <c r="X146" s="195"/>
      <c r="Y146" s="195"/>
      <c r="Z146" s="195"/>
      <c r="AA146" s="195"/>
      <c r="AB146" s="195"/>
      <c r="AC146" s="195"/>
      <c r="AD146" s="195"/>
      <c r="AE146" s="195"/>
      <c r="AF146" s="195"/>
      <c r="AG146" s="195"/>
      <c r="AH146" s="195"/>
      <c r="AI146" s="195"/>
      <c r="AJ146" s="195"/>
      <c r="AK146" s="195"/>
      <c r="AL146" s="195"/>
      <c r="AM146" s="195"/>
      <c r="AN146" s="195"/>
      <c r="AO146" s="195"/>
      <c r="AP146" s="195"/>
      <c r="AQ146" s="195"/>
      <c r="AR146" s="195"/>
      <c r="AS146" s="195"/>
      <c r="AT146" s="195"/>
      <c r="AU146" s="195"/>
      <c r="AV146" s="195"/>
      <c r="AW146" s="195"/>
      <c r="AX146" s="195"/>
      <c r="AY146" s="195"/>
      <c r="AZ146" s="195"/>
      <c r="BA146" s="195"/>
    </row>
    <row r="147" spans="1:53" hidden="1" x14ac:dyDescent="0.2">
      <c r="A147" s="189"/>
      <c r="B147" s="168"/>
      <c r="C147" s="168"/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78"/>
      <c r="Q147" s="178"/>
      <c r="R147" s="178"/>
      <c r="S147" s="178"/>
      <c r="T147" s="178"/>
      <c r="U147" s="77">
        <f t="shared" si="15"/>
        <v>0</v>
      </c>
      <c r="V147" s="195"/>
      <c r="W147" s="195"/>
      <c r="X147" s="195"/>
      <c r="Y147" s="195"/>
      <c r="Z147" s="195"/>
      <c r="AA147" s="195"/>
      <c r="AB147" s="195"/>
      <c r="AC147" s="195"/>
      <c r="AD147" s="195"/>
      <c r="AE147" s="195"/>
      <c r="AF147" s="195"/>
      <c r="AG147" s="195"/>
      <c r="AH147" s="195"/>
      <c r="AI147" s="195"/>
      <c r="AJ147" s="195"/>
      <c r="AK147" s="195"/>
      <c r="AL147" s="195"/>
      <c r="AM147" s="195"/>
      <c r="AN147" s="195"/>
      <c r="AO147" s="195"/>
      <c r="AP147" s="195"/>
      <c r="AQ147" s="195"/>
      <c r="AR147" s="195"/>
      <c r="AS147" s="195"/>
      <c r="AT147" s="195"/>
      <c r="AU147" s="195"/>
      <c r="AV147" s="195"/>
      <c r="AW147" s="195"/>
      <c r="AX147" s="195"/>
      <c r="AY147" s="195"/>
      <c r="AZ147" s="195"/>
      <c r="BA147" s="195"/>
    </row>
    <row r="148" spans="1:53" hidden="1" x14ac:dyDescent="0.2">
      <c r="A148" s="189"/>
      <c r="B148" s="168"/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78"/>
      <c r="Q148" s="178"/>
      <c r="R148" s="178"/>
      <c r="S148" s="178"/>
      <c r="T148" s="178"/>
      <c r="U148" s="77">
        <f t="shared" si="15"/>
        <v>0</v>
      </c>
      <c r="V148" s="195"/>
      <c r="W148" s="195"/>
      <c r="X148" s="195"/>
      <c r="Y148" s="195"/>
      <c r="Z148" s="195"/>
      <c r="AA148" s="195"/>
      <c r="AB148" s="195"/>
      <c r="AC148" s="195"/>
      <c r="AD148" s="195"/>
      <c r="AE148" s="195"/>
      <c r="AF148" s="195"/>
      <c r="AG148" s="195"/>
      <c r="AH148" s="195"/>
      <c r="AI148" s="195"/>
      <c r="AJ148" s="195"/>
      <c r="AK148" s="195"/>
      <c r="AL148" s="195"/>
      <c r="AM148" s="195"/>
      <c r="AN148" s="195"/>
      <c r="AO148" s="195"/>
      <c r="AP148" s="195"/>
      <c r="AQ148" s="195"/>
      <c r="AR148" s="195"/>
      <c r="AS148" s="195"/>
      <c r="AT148" s="195"/>
      <c r="AU148" s="195"/>
      <c r="AV148" s="195"/>
      <c r="AW148" s="195"/>
      <c r="AX148" s="195"/>
      <c r="AY148" s="195"/>
      <c r="AZ148" s="195"/>
      <c r="BA148" s="195"/>
    </row>
    <row r="149" spans="1:53" hidden="1" x14ac:dyDescent="0.2">
      <c r="A149" s="189"/>
      <c r="B149" s="168"/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78"/>
      <c r="Q149" s="178"/>
      <c r="R149" s="178"/>
      <c r="S149" s="178"/>
      <c r="T149" s="178"/>
      <c r="U149" s="77">
        <f t="shared" si="15"/>
        <v>0</v>
      </c>
      <c r="V149" s="195"/>
      <c r="W149" s="195"/>
      <c r="X149" s="195"/>
      <c r="Y149" s="195"/>
      <c r="Z149" s="195"/>
      <c r="AA149" s="195"/>
      <c r="AB149" s="195"/>
      <c r="AC149" s="195"/>
      <c r="AD149" s="195"/>
      <c r="AE149" s="195"/>
      <c r="AF149" s="195"/>
      <c r="AG149" s="195"/>
      <c r="AH149" s="195"/>
      <c r="AI149" s="195"/>
      <c r="AJ149" s="195"/>
      <c r="AK149" s="195"/>
      <c r="AL149" s="195"/>
      <c r="AM149" s="195"/>
      <c r="AN149" s="195"/>
      <c r="AO149" s="195"/>
      <c r="AP149" s="195"/>
      <c r="AQ149" s="195"/>
      <c r="AR149" s="195"/>
      <c r="AS149" s="195"/>
      <c r="AT149" s="195"/>
      <c r="AU149" s="195"/>
      <c r="AV149" s="195"/>
      <c r="AW149" s="195"/>
      <c r="AX149" s="195"/>
      <c r="AY149" s="195"/>
      <c r="AZ149" s="195"/>
      <c r="BA149" s="195"/>
    </row>
    <row r="150" spans="1:53" hidden="1" x14ac:dyDescent="0.2">
      <c r="A150" s="189"/>
      <c r="B150" s="168"/>
      <c r="C150" s="168"/>
      <c r="D150" s="168"/>
      <c r="E150" s="168"/>
      <c r="F150" s="168"/>
      <c r="G150" s="168"/>
      <c r="H150" s="168"/>
      <c r="I150" s="168"/>
      <c r="J150" s="168"/>
      <c r="K150" s="168"/>
      <c r="L150" s="168"/>
      <c r="M150" s="168"/>
      <c r="N150" s="168"/>
      <c r="O150" s="168"/>
      <c r="P150" s="178"/>
      <c r="Q150" s="178"/>
      <c r="R150" s="178"/>
      <c r="S150" s="178"/>
      <c r="T150" s="178"/>
      <c r="U150" s="74">
        <f t="shared" si="15"/>
        <v>0</v>
      </c>
      <c r="V150" s="195"/>
      <c r="W150" s="195"/>
      <c r="X150" s="195"/>
      <c r="Y150" s="195"/>
      <c r="Z150" s="195"/>
      <c r="AA150" s="195"/>
      <c r="AB150" s="195"/>
      <c r="AC150" s="195"/>
      <c r="AD150" s="195"/>
      <c r="AE150" s="195"/>
      <c r="AF150" s="195"/>
      <c r="AG150" s="195"/>
      <c r="AH150" s="195"/>
      <c r="AI150" s="195"/>
      <c r="AJ150" s="195"/>
      <c r="AK150" s="195"/>
      <c r="AL150" s="195"/>
      <c r="AM150" s="195"/>
      <c r="AN150" s="195"/>
      <c r="AO150" s="195"/>
      <c r="AP150" s="195"/>
      <c r="AQ150" s="195"/>
      <c r="AR150" s="195"/>
      <c r="AS150" s="195"/>
      <c r="AT150" s="195"/>
      <c r="AU150" s="195"/>
      <c r="AV150" s="195"/>
      <c r="AW150" s="195"/>
      <c r="AX150" s="195"/>
      <c r="AY150" s="195"/>
      <c r="AZ150" s="195"/>
      <c r="BA150" s="195"/>
    </row>
    <row r="151" spans="1:53" hidden="1" x14ac:dyDescent="0.2">
      <c r="A151" s="189"/>
      <c r="B151" s="168"/>
      <c r="C151" s="168"/>
      <c r="D151" s="168"/>
      <c r="E151" s="168"/>
      <c r="F151" s="168"/>
      <c r="G151" s="168"/>
      <c r="H151" s="168"/>
      <c r="I151" s="168"/>
      <c r="J151" s="168"/>
      <c r="K151" s="168"/>
      <c r="L151" s="168"/>
      <c r="M151" s="168"/>
      <c r="N151" s="168"/>
      <c r="O151" s="168"/>
      <c r="P151" s="178"/>
      <c r="Q151" s="178"/>
      <c r="R151" s="178"/>
      <c r="S151" s="178"/>
      <c r="T151" s="178"/>
      <c r="U151" s="74">
        <f t="shared" si="15"/>
        <v>0</v>
      </c>
      <c r="V151" s="195"/>
      <c r="W151" s="195"/>
      <c r="X151" s="195"/>
      <c r="Y151" s="195"/>
      <c r="Z151" s="195"/>
      <c r="AA151" s="195"/>
      <c r="AB151" s="195"/>
      <c r="AC151" s="195"/>
      <c r="AD151" s="195"/>
      <c r="AE151" s="195"/>
      <c r="AF151" s="195"/>
      <c r="AG151" s="195"/>
      <c r="AH151" s="195"/>
      <c r="AI151" s="195"/>
      <c r="AJ151" s="195"/>
      <c r="AK151" s="195"/>
      <c r="AL151" s="195"/>
      <c r="AM151" s="195"/>
      <c r="AN151" s="195"/>
      <c r="AO151" s="195"/>
      <c r="AP151" s="195"/>
      <c r="AQ151" s="195"/>
      <c r="AR151" s="195"/>
      <c r="AS151" s="195"/>
      <c r="AT151" s="195"/>
      <c r="AU151" s="195"/>
      <c r="AV151" s="195"/>
      <c r="AW151" s="195"/>
      <c r="AX151" s="195"/>
      <c r="AY151" s="195"/>
      <c r="AZ151" s="195"/>
      <c r="BA151" s="195"/>
    </row>
    <row r="152" spans="1:53" hidden="1" x14ac:dyDescent="0.2">
      <c r="A152" s="189"/>
      <c r="B152" s="168"/>
      <c r="C152" s="168"/>
      <c r="D152" s="168"/>
      <c r="E152" s="168"/>
      <c r="F152" s="168"/>
      <c r="G152" s="168"/>
      <c r="H152" s="168"/>
      <c r="I152" s="168"/>
      <c r="J152" s="168"/>
      <c r="K152" s="168"/>
      <c r="L152" s="168"/>
      <c r="M152" s="168"/>
      <c r="N152" s="168"/>
      <c r="O152" s="168"/>
      <c r="P152" s="169"/>
      <c r="Q152" s="169"/>
      <c r="R152" s="169"/>
      <c r="S152" s="169"/>
      <c r="T152" s="169"/>
      <c r="U152" s="74">
        <f t="shared" si="15"/>
        <v>0</v>
      </c>
      <c r="V152" s="195"/>
      <c r="W152" s="195"/>
      <c r="X152" s="195"/>
      <c r="Y152" s="195"/>
      <c r="Z152" s="195"/>
      <c r="AA152" s="195"/>
      <c r="AB152" s="195"/>
      <c r="AC152" s="195"/>
      <c r="AD152" s="195"/>
      <c r="AE152" s="195"/>
      <c r="AF152" s="195"/>
      <c r="AG152" s="195"/>
      <c r="AH152" s="195"/>
      <c r="AI152" s="195"/>
      <c r="AJ152" s="195"/>
      <c r="AK152" s="195"/>
      <c r="AL152" s="195"/>
      <c r="AM152" s="195"/>
      <c r="AN152" s="195"/>
      <c r="AO152" s="195"/>
      <c r="AP152" s="195"/>
      <c r="AQ152" s="195"/>
      <c r="AR152" s="195"/>
      <c r="AS152" s="195"/>
      <c r="AT152" s="195"/>
      <c r="AU152" s="195"/>
      <c r="AV152" s="195"/>
      <c r="AW152" s="195"/>
      <c r="AX152" s="195"/>
      <c r="AY152" s="195"/>
      <c r="AZ152" s="195"/>
      <c r="BA152" s="195"/>
    </row>
    <row r="153" spans="1:53" x14ac:dyDescent="0.2">
      <c r="A153" s="129" t="s">
        <v>210</v>
      </c>
      <c r="B153" s="130"/>
      <c r="C153" s="130"/>
      <c r="D153" s="122"/>
      <c r="E153" s="122"/>
      <c r="F153" s="122"/>
      <c r="G153" s="122"/>
      <c r="H153" s="122"/>
      <c r="I153" s="122"/>
      <c r="J153" s="122"/>
      <c r="K153" s="122"/>
      <c r="L153" s="122"/>
      <c r="M153" s="122"/>
      <c r="N153" s="122"/>
      <c r="O153" s="122"/>
      <c r="P153" s="126">
        <f t="shared" ref="P153:U153" si="16">SUM(P143:P152)</f>
        <v>0</v>
      </c>
      <c r="Q153" s="126">
        <f t="shared" si="16"/>
        <v>0</v>
      </c>
      <c r="R153" s="126">
        <f t="shared" si="16"/>
        <v>0</v>
      </c>
      <c r="S153" s="126">
        <f t="shared" si="16"/>
        <v>0</v>
      </c>
      <c r="T153" s="126">
        <f t="shared" si="16"/>
        <v>0</v>
      </c>
      <c r="U153" s="123">
        <f t="shared" si="16"/>
        <v>0</v>
      </c>
      <c r="V153" s="195"/>
      <c r="W153" s="195"/>
      <c r="X153" s="195"/>
      <c r="Y153" s="195"/>
      <c r="Z153" s="195"/>
      <c r="AA153" s="195"/>
      <c r="AB153" s="195"/>
      <c r="AC153" s="195"/>
      <c r="AD153" s="195"/>
      <c r="AE153" s="195"/>
      <c r="AF153" s="195"/>
      <c r="AG153" s="195"/>
      <c r="AH153" s="195"/>
      <c r="AI153" s="195"/>
      <c r="AJ153" s="195"/>
      <c r="AK153" s="195"/>
      <c r="AL153" s="195"/>
      <c r="AM153" s="195"/>
      <c r="AN153" s="195"/>
      <c r="AO153" s="195"/>
      <c r="AP153" s="195"/>
      <c r="AQ153" s="195"/>
      <c r="AR153" s="195"/>
      <c r="AS153" s="195"/>
      <c r="AT153" s="195"/>
      <c r="AU153" s="195"/>
      <c r="AV153" s="195"/>
      <c r="AW153" s="195"/>
      <c r="AX153" s="195"/>
      <c r="AY153" s="195"/>
      <c r="AZ153" s="195"/>
      <c r="BA153" s="195"/>
    </row>
    <row r="154" spans="1:53" x14ac:dyDescent="0.2">
      <c r="V154" s="195"/>
      <c r="W154" s="195"/>
      <c r="X154" s="195"/>
      <c r="Y154" s="195"/>
      <c r="Z154" s="195"/>
      <c r="AA154" s="195"/>
      <c r="AB154" s="195"/>
      <c r="AC154" s="195"/>
      <c r="AD154" s="195"/>
      <c r="AE154" s="195"/>
      <c r="AF154" s="195"/>
      <c r="AG154" s="195"/>
      <c r="AH154" s="195"/>
      <c r="AI154" s="195"/>
      <c r="AJ154" s="195"/>
      <c r="AK154" s="195"/>
      <c r="AL154" s="195"/>
      <c r="AM154" s="195"/>
      <c r="AN154" s="195"/>
      <c r="AO154" s="195"/>
      <c r="AP154" s="195"/>
      <c r="AQ154" s="195"/>
      <c r="AR154" s="195"/>
      <c r="AS154" s="195"/>
      <c r="AT154" s="195"/>
      <c r="AU154" s="195"/>
      <c r="AV154" s="195"/>
      <c r="AW154" s="195"/>
      <c r="AX154" s="195"/>
      <c r="AY154" s="195"/>
      <c r="AZ154" s="195"/>
      <c r="BA154" s="195"/>
    </row>
    <row r="155" spans="1:53" x14ac:dyDescent="0.2">
      <c r="A155" s="461" t="s">
        <v>55</v>
      </c>
      <c r="B155" s="462"/>
      <c r="C155" s="462"/>
      <c r="D155" s="48"/>
      <c r="E155" s="48"/>
      <c r="F155" s="48"/>
      <c r="G155" s="48"/>
      <c r="H155" s="48"/>
      <c r="I155" s="48"/>
      <c r="J155" s="48"/>
      <c r="K155" s="48"/>
      <c r="L155" s="48"/>
      <c r="M155" s="471" t="s">
        <v>164</v>
      </c>
      <c r="N155" s="448"/>
      <c r="O155" s="449"/>
      <c r="P155" s="86" t="s">
        <v>113</v>
      </c>
      <c r="Q155" s="86" t="s">
        <v>114</v>
      </c>
      <c r="R155" s="86" t="s">
        <v>115</v>
      </c>
      <c r="S155" s="86" t="s">
        <v>118</v>
      </c>
      <c r="T155" s="86" t="s">
        <v>116</v>
      </c>
      <c r="U155" s="86" t="str">
        <f>U98</f>
        <v>Total</v>
      </c>
      <c r="V155" s="195"/>
      <c r="W155" s="195"/>
      <c r="X155" s="195"/>
      <c r="Y155" s="195"/>
      <c r="Z155" s="195"/>
      <c r="AA155" s="195"/>
      <c r="AB155" s="195"/>
      <c r="AC155" s="195"/>
      <c r="AD155" s="195"/>
      <c r="AE155" s="195"/>
      <c r="AF155" s="195"/>
      <c r="AG155" s="195"/>
      <c r="AH155" s="195"/>
      <c r="AI155" s="195"/>
      <c r="AJ155" s="195"/>
      <c r="AK155" s="195"/>
      <c r="AL155" s="195"/>
      <c r="AM155" s="195"/>
      <c r="AN155" s="195"/>
      <c r="AO155" s="195"/>
      <c r="AP155" s="195"/>
      <c r="AQ155" s="195"/>
      <c r="AR155" s="195"/>
      <c r="AS155" s="195"/>
      <c r="AT155" s="195"/>
      <c r="AU155" s="195"/>
      <c r="AV155" s="195"/>
      <c r="AW155" s="195"/>
      <c r="AX155" s="195"/>
      <c r="AY155" s="195"/>
      <c r="AZ155" s="195"/>
      <c r="BA155" s="195"/>
    </row>
    <row r="156" spans="1:53" x14ac:dyDescent="0.2">
      <c r="A156" s="189"/>
      <c r="B156" s="168"/>
      <c r="C156" s="168"/>
      <c r="D156" s="168"/>
      <c r="E156" s="168"/>
      <c r="F156" s="168"/>
      <c r="G156" s="168"/>
      <c r="H156" s="168"/>
      <c r="I156" s="168"/>
      <c r="J156" s="168"/>
      <c r="K156" s="168"/>
      <c r="L156" s="168"/>
      <c r="M156" s="349" t="s">
        <v>192</v>
      </c>
      <c r="N156" s="470"/>
      <c r="O156" s="350"/>
      <c r="P156" s="171"/>
      <c r="Q156" s="171"/>
      <c r="R156" s="171"/>
      <c r="S156" s="171"/>
      <c r="T156" s="171"/>
      <c r="U156" s="73">
        <f>SUM(P156:T156)</f>
        <v>0</v>
      </c>
      <c r="V156" s="206"/>
      <c r="W156" s="195"/>
      <c r="X156" s="195"/>
      <c r="Y156" s="195"/>
      <c r="Z156" s="195"/>
      <c r="AA156" s="195"/>
      <c r="AB156" s="195"/>
      <c r="AC156" s="195"/>
      <c r="AD156" s="195"/>
      <c r="AE156" s="195"/>
      <c r="AF156" s="195"/>
      <c r="AG156" s="195"/>
      <c r="AH156" s="195"/>
      <c r="AI156" s="195"/>
      <c r="AJ156" s="195"/>
      <c r="AK156" s="195"/>
      <c r="AL156" s="195"/>
      <c r="AM156" s="195"/>
      <c r="AN156" s="195"/>
      <c r="AO156" s="195"/>
      <c r="AP156" s="195"/>
      <c r="AQ156" s="195"/>
      <c r="AR156" s="195"/>
      <c r="AS156" s="195"/>
      <c r="AT156" s="195"/>
      <c r="AU156" s="195"/>
      <c r="AV156" s="195"/>
      <c r="AW156" s="195"/>
      <c r="AX156" s="195"/>
      <c r="AY156" s="195"/>
      <c r="AZ156" s="195"/>
      <c r="BA156" s="195"/>
    </row>
    <row r="157" spans="1:53" x14ac:dyDescent="0.2">
      <c r="A157" s="189"/>
      <c r="B157" s="168"/>
      <c r="C157" s="168"/>
      <c r="D157" s="168"/>
      <c r="E157" s="168"/>
      <c r="F157" s="168"/>
      <c r="G157" s="168"/>
      <c r="H157" s="168"/>
      <c r="I157" s="168"/>
      <c r="J157" s="168"/>
      <c r="K157" s="168"/>
      <c r="L157" s="168"/>
      <c r="M157" s="349" t="s">
        <v>192</v>
      </c>
      <c r="N157" s="470"/>
      <c r="O157" s="350"/>
      <c r="P157" s="171"/>
      <c r="Q157" s="171"/>
      <c r="R157" s="171"/>
      <c r="S157" s="171"/>
      <c r="T157" s="171"/>
      <c r="U157" s="73">
        <f t="shared" ref="U157:U182" si="17">SUM(P157:T157)</f>
        <v>0</v>
      </c>
      <c r="V157" s="206"/>
      <c r="W157" s="195"/>
      <c r="X157" s="195"/>
      <c r="Y157" s="195"/>
      <c r="Z157" s="195"/>
      <c r="AA157" s="195"/>
      <c r="AB157" s="195"/>
      <c r="AC157" s="195"/>
      <c r="AD157" s="195"/>
      <c r="AE157" s="195"/>
      <c r="AF157" s="195"/>
      <c r="AG157" s="195"/>
      <c r="AH157" s="195"/>
      <c r="AI157" s="195"/>
      <c r="AJ157" s="195"/>
      <c r="AK157" s="195"/>
      <c r="AL157" s="195"/>
      <c r="AM157" s="195"/>
      <c r="AN157" s="195"/>
      <c r="AO157" s="195"/>
      <c r="AP157" s="195"/>
      <c r="AQ157" s="195"/>
      <c r="AR157" s="195"/>
      <c r="AS157" s="195"/>
      <c r="AT157" s="195"/>
      <c r="AU157" s="195"/>
      <c r="AV157" s="195"/>
      <c r="AW157" s="195"/>
      <c r="AX157" s="195"/>
      <c r="AY157" s="195"/>
      <c r="AZ157" s="195"/>
      <c r="BA157" s="195"/>
    </row>
    <row r="158" spans="1:53" x14ac:dyDescent="0.2">
      <c r="A158" s="189"/>
      <c r="B158" s="168"/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349" t="s">
        <v>192</v>
      </c>
      <c r="N158" s="470"/>
      <c r="O158" s="350"/>
      <c r="P158" s="171"/>
      <c r="Q158" s="171"/>
      <c r="R158" s="171"/>
      <c r="S158" s="171"/>
      <c r="T158" s="171"/>
      <c r="U158" s="73">
        <f t="shared" si="17"/>
        <v>0</v>
      </c>
      <c r="V158" s="206"/>
      <c r="W158" s="195"/>
      <c r="X158" s="195"/>
      <c r="Y158" s="195"/>
      <c r="Z158" s="195"/>
      <c r="AA158" s="195"/>
      <c r="AB158" s="195"/>
      <c r="AC158" s="195"/>
      <c r="AD158" s="195"/>
      <c r="AE158" s="195"/>
      <c r="AF158" s="195"/>
      <c r="AG158" s="195"/>
      <c r="AH158" s="195"/>
      <c r="AI158" s="195"/>
      <c r="AJ158" s="195"/>
      <c r="AK158" s="195"/>
      <c r="AL158" s="195"/>
      <c r="AM158" s="195"/>
      <c r="AN158" s="195"/>
      <c r="AO158" s="195"/>
      <c r="AP158" s="195"/>
      <c r="AQ158" s="195"/>
      <c r="AR158" s="195"/>
      <c r="AS158" s="195"/>
      <c r="AT158" s="195"/>
      <c r="AU158" s="195"/>
      <c r="AV158" s="195"/>
      <c r="AW158" s="195"/>
      <c r="AX158" s="195"/>
      <c r="AY158" s="195"/>
      <c r="AZ158" s="195"/>
      <c r="BA158" s="195"/>
    </row>
    <row r="159" spans="1:53" x14ac:dyDescent="0.2">
      <c r="A159" s="189"/>
      <c r="B159" s="168"/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349" t="s">
        <v>192</v>
      </c>
      <c r="N159" s="470"/>
      <c r="O159" s="350"/>
      <c r="P159" s="171"/>
      <c r="Q159" s="171"/>
      <c r="R159" s="171"/>
      <c r="S159" s="171"/>
      <c r="T159" s="171"/>
      <c r="U159" s="73">
        <f t="shared" si="17"/>
        <v>0</v>
      </c>
      <c r="V159" s="206"/>
      <c r="W159" s="195"/>
      <c r="X159" s="195"/>
      <c r="Y159" s="195"/>
      <c r="Z159" s="195"/>
      <c r="AA159" s="195"/>
      <c r="AB159" s="195"/>
      <c r="AC159" s="195"/>
      <c r="AD159" s="195"/>
      <c r="AE159" s="195"/>
      <c r="AF159" s="195"/>
      <c r="AG159" s="195"/>
      <c r="AH159" s="195"/>
      <c r="AI159" s="195"/>
      <c r="AJ159" s="195"/>
      <c r="AK159" s="195"/>
      <c r="AL159" s="195"/>
      <c r="AM159" s="195"/>
      <c r="AN159" s="195"/>
      <c r="AO159" s="195"/>
      <c r="AP159" s="195"/>
      <c r="AQ159" s="195"/>
      <c r="AR159" s="195"/>
      <c r="AS159" s="195"/>
      <c r="AT159" s="195"/>
      <c r="AU159" s="195"/>
      <c r="AV159" s="195"/>
      <c r="AW159" s="195"/>
      <c r="AX159" s="195"/>
      <c r="AY159" s="195"/>
      <c r="AZ159" s="195"/>
      <c r="BA159" s="195"/>
    </row>
    <row r="160" spans="1:53" x14ac:dyDescent="0.2">
      <c r="A160" s="189"/>
      <c r="B160" s="168"/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349" t="s">
        <v>192</v>
      </c>
      <c r="N160" s="470"/>
      <c r="O160" s="350"/>
      <c r="P160" s="171"/>
      <c r="Q160" s="171"/>
      <c r="R160" s="171"/>
      <c r="S160" s="171"/>
      <c r="T160" s="171"/>
      <c r="U160" s="73">
        <f t="shared" si="17"/>
        <v>0</v>
      </c>
      <c r="V160" s="206"/>
      <c r="W160" s="195"/>
      <c r="X160" s="195"/>
      <c r="Y160" s="195"/>
      <c r="Z160" s="195"/>
      <c r="AA160" s="195"/>
      <c r="AB160" s="195"/>
      <c r="AC160" s="195"/>
      <c r="AD160" s="195"/>
      <c r="AE160" s="195"/>
      <c r="AF160" s="195"/>
      <c r="AG160" s="195"/>
      <c r="AH160" s="195"/>
      <c r="AI160" s="195"/>
      <c r="AJ160" s="195"/>
      <c r="AK160" s="195"/>
      <c r="AL160" s="195"/>
      <c r="AM160" s="195"/>
      <c r="AN160" s="195"/>
      <c r="AO160" s="195"/>
      <c r="AP160" s="195"/>
      <c r="AQ160" s="195"/>
      <c r="AR160" s="195"/>
      <c r="AS160" s="195"/>
      <c r="AT160" s="195"/>
      <c r="AU160" s="195"/>
      <c r="AV160" s="195"/>
      <c r="AW160" s="195"/>
      <c r="AX160" s="195"/>
      <c r="AY160" s="195"/>
      <c r="AZ160" s="195"/>
      <c r="BA160" s="195"/>
    </row>
    <row r="161" spans="1:53" x14ac:dyDescent="0.2">
      <c r="A161" s="189"/>
      <c r="B161" s="168"/>
      <c r="C161" s="168"/>
      <c r="D161" s="168"/>
      <c r="E161" s="168"/>
      <c r="F161" s="168"/>
      <c r="G161" s="168"/>
      <c r="H161" s="168"/>
      <c r="I161" s="168"/>
      <c r="J161" s="168"/>
      <c r="K161" s="168"/>
      <c r="L161" s="168"/>
      <c r="M161" s="349" t="s">
        <v>192</v>
      </c>
      <c r="N161" s="470"/>
      <c r="O161" s="350"/>
      <c r="P161" s="171"/>
      <c r="Q161" s="171"/>
      <c r="R161" s="171"/>
      <c r="S161" s="171"/>
      <c r="T161" s="171"/>
      <c r="U161" s="73">
        <f t="shared" si="17"/>
        <v>0</v>
      </c>
      <c r="V161" s="206"/>
      <c r="W161" s="195"/>
      <c r="X161" s="195"/>
      <c r="Y161" s="195"/>
      <c r="Z161" s="195"/>
      <c r="AA161" s="195"/>
      <c r="AB161" s="195"/>
      <c r="AC161" s="195"/>
      <c r="AD161" s="195"/>
      <c r="AE161" s="195"/>
      <c r="AF161" s="195"/>
      <c r="AG161" s="195"/>
      <c r="AH161" s="195"/>
      <c r="AI161" s="195"/>
      <c r="AJ161" s="195"/>
      <c r="AK161" s="195"/>
      <c r="AL161" s="195"/>
      <c r="AM161" s="195"/>
      <c r="AN161" s="195"/>
      <c r="AO161" s="195"/>
      <c r="AP161" s="195"/>
      <c r="AQ161" s="195"/>
      <c r="AR161" s="195"/>
      <c r="AS161" s="195"/>
      <c r="AT161" s="195"/>
      <c r="AU161" s="195"/>
      <c r="AV161" s="195"/>
      <c r="AW161" s="195"/>
      <c r="AX161" s="195"/>
      <c r="AY161" s="195"/>
      <c r="AZ161" s="195"/>
      <c r="BA161" s="195"/>
    </row>
    <row r="162" spans="1:53" x14ac:dyDescent="0.2">
      <c r="A162" s="189"/>
      <c r="B162" s="168"/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349" t="s">
        <v>192</v>
      </c>
      <c r="N162" s="470"/>
      <c r="O162" s="350"/>
      <c r="P162" s="171"/>
      <c r="Q162" s="171"/>
      <c r="R162" s="171"/>
      <c r="S162" s="171"/>
      <c r="T162" s="171"/>
      <c r="U162" s="73">
        <f t="shared" si="17"/>
        <v>0</v>
      </c>
      <c r="V162" s="206"/>
      <c r="W162" s="195"/>
      <c r="X162" s="195"/>
      <c r="Y162" s="195"/>
      <c r="Z162" s="195"/>
      <c r="AA162" s="195"/>
      <c r="AB162" s="195"/>
      <c r="AC162" s="195"/>
      <c r="AD162" s="195"/>
      <c r="AE162" s="195"/>
      <c r="AF162" s="195"/>
      <c r="AG162" s="195"/>
      <c r="AH162" s="195"/>
      <c r="AI162" s="195"/>
      <c r="AJ162" s="195"/>
      <c r="AK162" s="195"/>
      <c r="AL162" s="195"/>
      <c r="AM162" s="195"/>
      <c r="AN162" s="195"/>
      <c r="AO162" s="195"/>
      <c r="AP162" s="195"/>
      <c r="AQ162" s="195"/>
      <c r="AR162" s="195"/>
      <c r="AS162" s="195"/>
      <c r="AT162" s="195"/>
      <c r="AU162" s="195"/>
      <c r="AV162" s="195"/>
      <c r="AW162" s="195"/>
      <c r="AX162" s="195"/>
      <c r="AY162" s="195"/>
      <c r="AZ162" s="195"/>
      <c r="BA162" s="195"/>
    </row>
    <row r="163" spans="1:53" hidden="1" x14ac:dyDescent="0.2">
      <c r="A163" s="189"/>
      <c r="B163" s="168"/>
      <c r="C163" s="168"/>
      <c r="D163" s="168"/>
      <c r="E163" s="168"/>
      <c r="F163" s="168"/>
      <c r="G163" s="168"/>
      <c r="H163" s="168"/>
      <c r="I163" s="168"/>
      <c r="J163" s="168"/>
      <c r="K163" s="168"/>
      <c r="L163" s="168"/>
      <c r="M163" s="349" t="s">
        <v>192</v>
      </c>
      <c r="N163" s="470"/>
      <c r="O163" s="350"/>
      <c r="P163" s="171"/>
      <c r="Q163" s="171"/>
      <c r="R163" s="171"/>
      <c r="S163" s="171"/>
      <c r="T163" s="171"/>
      <c r="U163" s="73">
        <f t="shared" si="17"/>
        <v>0</v>
      </c>
      <c r="V163" s="206"/>
      <c r="W163" s="195"/>
      <c r="X163" s="195"/>
      <c r="Y163" s="195"/>
      <c r="Z163" s="195"/>
      <c r="AA163" s="195"/>
      <c r="AB163" s="195"/>
      <c r="AC163" s="195"/>
      <c r="AD163" s="195"/>
      <c r="AE163" s="195"/>
      <c r="AF163" s="195"/>
      <c r="AG163" s="195"/>
      <c r="AH163" s="195"/>
      <c r="AI163" s="195"/>
      <c r="AJ163" s="195"/>
      <c r="AK163" s="195"/>
      <c r="AL163" s="195"/>
      <c r="AM163" s="195"/>
      <c r="AN163" s="195"/>
      <c r="AO163" s="195"/>
      <c r="AP163" s="195"/>
      <c r="AQ163" s="195"/>
      <c r="AR163" s="195"/>
      <c r="AS163" s="195"/>
      <c r="AT163" s="195"/>
      <c r="AU163" s="195"/>
      <c r="AV163" s="195"/>
      <c r="AW163" s="195"/>
      <c r="AX163" s="195"/>
      <c r="AY163" s="195"/>
      <c r="AZ163" s="195"/>
      <c r="BA163" s="195"/>
    </row>
    <row r="164" spans="1:53" hidden="1" x14ac:dyDescent="0.2">
      <c r="A164" s="189"/>
      <c r="B164" s="168"/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349" t="s">
        <v>192</v>
      </c>
      <c r="N164" s="470"/>
      <c r="O164" s="350"/>
      <c r="P164" s="171"/>
      <c r="Q164" s="171"/>
      <c r="R164" s="171"/>
      <c r="S164" s="171"/>
      <c r="T164" s="171"/>
      <c r="U164" s="73">
        <f t="shared" si="17"/>
        <v>0</v>
      </c>
      <c r="V164" s="206"/>
      <c r="W164" s="195"/>
      <c r="X164" s="195"/>
      <c r="Y164" s="195"/>
      <c r="Z164" s="195"/>
      <c r="AA164" s="195"/>
      <c r="AB164" s="195"/>
      <c r="AC164" s="195"/>
      <c r="AD164" s="195"/>
      <c r="AE164" s="195"/>
      <c r="AF164" s="195"/>
      <c r="AG164" s="195"/>
      <c r="AH164" s="195"/>
      <c r="AI164" s="195"/>
      <c r="AJ164" s="195"/>
      <c r="AK164" s="195"/>
      <c r="AL164" s="195"/>
      <c r="AM164" s="195"/>
      <c r="AN164" s="195"/>
      <c r="AO164" s="195"/>
      <c r="AP164" s="195"/>
      <c r="AQ164" s="195"/>
      <c r="AR164" s="195"/>
      <c r="AS164" s="195"/>
      <c r="AT164" s="195"/>
      <c r="AU164" s="195"/>
      <c r="AV164" s="195"/>
      <c r="AW164" s="195"/>
      <c r="AX164" s="195"/>
      <c r="AY164" s="195"/>
      <c r="AZ164" s="195"/>
      <c r="BA164" s="195"/>
    </row>
    <row r="165" spans="1:53" hidden="1" x14ac:dyDescent="0.2">
      <c r="A165" s="189"/>
      <c r="B165" s="168"/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349" t="s">
        <v>192</v>
      </c>
      <c r="N165" s="470"/>
      <c r="O165" s="350"/>
      <c r="P165" s="171"/>
      <c r="Q165" s="171"/>
      <c r="R165" s="171"/>
      <c r="S165" s="171"/>
      <c r="T165" s="171"/>
      <c r="U165" s="73">
        <f t="shared" si="17"/>
        <v>0</v>
      </c>
      <c r="V165" s="206"/>
      <c r="W165" s="195"/>
      <c r="X165" s="195"/>
      <c r="Y165" s="195"/>
      <c r="Z165" s="195"/>
      <c r="AA165" s="195"/>
      <c r="AB165" s="195"/>
      <c r="AC165" s="195"/>
      <c r="AD165" s="195"/>
      <c r="AE165" s="195"/>
      <c r="AF165" s="195"/>
      <c r="AG165" s="195"/>
      <c r="AH165" s="195"/>
      <c r="AI165" s="195"/>
      <c r="AJ165" s="195"/>
      <c r="AK165" s="195"/>
      <c r="AL165" s="195"/>
      <c r="AM165" s="195"/>
      <c r="AN165" s="195"/>
      <c r="AO165" s="195"/>
      <c r="AP165" s="195"/>
      <c r="AQ165" s="195"/>
      <c r="AR165" s="195"/>
      <c r="AS165" s="195"/>
      <c r="AT165" s="195"/>
      <c r="AU165" s="195"/>
      <c r="AV165" s="195"/>
      <c r="AW165" s="195"/>
      <c r="AX165" s="195"/>
      <c r="AY165" s="195"/>
      <c r="AZ165" s="195"/>
      <c r="BA165" s="195"/>
    </row>
    <row r="166" spans="1:53" hidden="1" x14ac:dyDescent="0.2">
      <c r="A166" s="189"/>
      <c r="B166" s="168"/>
      <c r="C166" s="168"/>
      <c r="D166" s="168"/>
      <c r="E166" s="168"/>
      <c r="F166" s="168"/>
      <c r="G166" s="168"/>
      <c r="H166" s="168"/>
      <c r="I166" s="168"/>
      <c r="J166" s="168"/>
      <c r="K166" s="168"/>
      <c r="L166" s="168"/>
      <c r="M166" s="349" t="s">
        <v>192</v>
      </c>
      <c r="N166" s="470"/>
      <c r="O166" s="350"/>
      <c r="P166" s="171"/>
      <c r="Q166" s="171"/>
      <c r="R166" s="171"/>
      <c r="S166" s="171"/>
      <c r="T166" s="171"/>
      <c r="U166" s="73">
        <f t="shared" si="17"/>
        <v>0</v>
      </c>
      <c r="V166" s="206"/>
      <c r="W166" s="195"/>
      <c r="X166" s="195"/>
      <c r="Y166" s="195"/>
      <c r="Z166" s="195"/>
      <c r="AA166" s="195"/>
      <c r="AB166" s="195"/>
      <c r="AC166" s="195"/>
      <c r="AD166" s="195"/>
      <c r="AE166" s="195"/>
      <c r="AF166" s="195"/>
      <c r="AG166" s="195"/>
      <c r="AH166" s="195"/>
      <c r="AI166" s="195"/>
      <c r="AJ166" s="195"/>
      <c r="AK166" s="195"/>
      <c r="AL166" s="195"/>
      <c r="AM166" s="195"/>
      <c r="AN166" s="195"/>
      <c r="AO166" s="195"/>
      <c r="AP166" s="195"/>
      <c r="AQ166" s="195"/>
      <c r="AR166" s="195"/>
      <c r="AS166" s="195"/>
      <c r="AT166" s="195"/>
      <c r="AU166" s="195"/>
      <c r="AV166" s="195"/>
      <c r="AW166" s="195"/>
      <c r="AX166" s="195"/>
      <c r="AY166" s="195"/>
      <c r="AZ166" s="195"/>
      <c r="BA166" s="195"/>
    </row>
    <row r="167" spans="1:53" hidden="1" x14ac:dyDescent="0.2">
      <c r="A167" s="189"/>
      <c r="B167" s="168"/>
      <c r="C167" s="168"/>
      <c r="D167" s="168"/>
      <c r="E167" s="168"/>
      <c r="F167" s="168"/>
      <c r="G167" s="168"/>
      <c r="H167" s="168"/>
      <c r="I167" s="168"/>
      <c r="J167" s="168"/>
      <c r="K167" s="168"/>
      <c r="L167" s="168"/>
      <c r="M167" s="349" t="s">
        <v>192</v>
      </c>
      <c r="N167" s="470"/>
      <c r="O167" s="350"/>
      <c r="P167" s="171"/>
      <c r="Q167" s="171"/>
      <c r="R167" s="171"/>
      <c r="S167" s="171"/>
      <c r="T167" s="171"/>
      <c r="U167" s="73">
        <f t="shared" si="17"/>
        <v>0</v>
      </c>
      <c r="V167" s="206"/>
      <c r="W167" s="195"/>
      <c r="X167" s="195"/>
      <c r="Y167" s="195"/>
      <c r="Z167" s="195"/>
      <c r="AA167" s="195"/>
      <c r="AB167" s="195"/>
      <c r="AC167" s="195"/>
      <c r="AD167" s="195"/>
      <c r="AE167" s="195"/>
      <c r="AF167" s="195"/>
      <c r="AG167" s="195"/>
      <c r="AH167" s="195"/>
      <c r="AI167" s="195"/>
      <c r="AJ167" s="195"/>
      <c r="AK167" s="195"/>
      <c r="AL167" s="195"/>
      <c r="AM167" s="195"/>
      <c r="AN167" s="195"/>
      <c r="AO167" s="195"/>
      <c r="AP167" s="195"/>
      <c r="AQ167" s="195"/>
      <c r="AR167" s="195"/>
      <c r="AS167" s="195"/>
      <c r="AT167" s="195"/>
      <c r="AU167" s="195"/>
      <c r="AV167" s="195"/>
      <c r="AW167" s="195"/>
      <c r="AX167" s="195"/>
      <c r="AY167" s="195"/>
      <c r="AZ167" s="195"/>
      <c r="BA167" s="195"/>
    </row>
    <row r="168" spans="1:53" hidden="1" x14ac:dyDescent="0.2">
      <c r="A168" s="189"/>
      <c r="B168" s="168"/>
      <c r="C168" s="168"/>
      <c r="D168" s="168"/>
      <c r="E168" s="168"/>
      <c r="F168" s="168"/>
      <c r="G168" s="168"/>
      <c r="H168" s="168"/>
      <c r="I168" s="168"/>
      <c r="J168" s="168"/>
      <c r="K168" s="168"/>
      <c r="L168" s="168"/>
      <c r="M168" s="349" t="s">
        <v>192</v>
      </c>
      <c r="N168" s="470"/>
      <c r="O168" s="350"/>
      <c r="P168" s="171"/>
      <c r="Q168" s="171"/>
      <c r="R168" s="171"/>
      <c r="S168" s="171"/>
      <c r="T168" s="171"/>
      <c r="U168" s="73">
        <f t="shared" si="17"/>
        <v>0</v>
      </c>
      <c r="V168" s="206"/>
      <c r="W168" s="195"/>
      <c r="X168" s="195"/>
      <c r="Y168" s="195"/>
      <c r="Z168" s="195"/>
      <c r="AA168" s="195"/>
      <c r="AB168" s="195"/>
      <c r="AC168" s="195"/>
      <c r="AD168" s="195"/>
      <c r="AE168" s="195"/>
      <c r="AF168" s="195"/>
      <c r="AG168" s="195"/>
      <c r="AH168" s="195"/>
      <c r="AI168" s="195"/>
      <c r="AJ168" s="195"/>
      <c r="AK168" s="195"/>
      <c r="AL168" s="195"/>
      <c r="AM168" s="195"/>
      <c r="AN168" s="195"/>
      <c r="AO168" s="195"/>
      <c r="AP168" s="195"/>
      <c r="AQ168" s="195"/>
      <c r="AR168" s="195"/>
      <c r="AS168" s="195"/>
      <c r="AT168" s="195"/>
      <c r="AU168" s="195"/>
      <c r="AV168" s="195"/>
      <c r="AW168" s="195"/>
      <c r="AX168" s="195"/>
      <c r="AY168" s="195"/>
      <c r="AZ168" s="195"/>
      <c r="BA168" s="195"/>
    </row>
    <row r="169" spans="1:53" hidden="1" x14ac:dyDescent="0.2">
      <c r="A169" s="189"/>
      <c r="B169" s="168"/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349" t="s">
        <v>192</v>
      </c>
      <c r="N169" s="470"/>
      <c r="O169" s="350"/>
      <c r="P169" s="171"/>
      <c r="Q169" s="171"/>
      <c r="R169" s="171"/>
      <c r="S169" s="171"/>
      <c r="T169" s="171"/>
      <c r="U169" s="73">
        <f t="shared" si="17"/>
        <v>0</v>
      </c>
      <c r="V169" s="206"/>
      <c r="W169" s="195"/>
      <c r="X169" s="195"/>
      <c r="Y169" s="195"/>
      <c r="Z169" s="195"/>
      <c r="AA169" s="195"/>
      <c r="AB169" s="195"/>
      <c r="AC169" s="195"/>
      <c r="AD169" s="195"/>
      <c r="AE169" s="195"/>
      <c r="AF169" s="195"/>
      <c r="AG169" s="195"/>
      <c r="AH169" s="195"/>
      <c r="AI169" s="195"/>
      <c r="AJ169" s="195"/>
      <c r="AK169" s="195"/>
      <c r="AL169" s="195"/>
      <c r="AM169" s="195"/>
      <c r="AN169" s="195"/>
      <c r="AO169" s="195"/>
      <c r="AP169" s="195"/>
      <c r="AQ169" s="195"/>
      <c r="AR169" s="195"/>
      <c r="AS169" s="195"/>
      <c r="AT169" s="195"/>
      <c r="AU169" s="195"/>
      <c r="AV169" s="195"/>
      <c r="AW169" s="195"/>
      <c r="AX169" s="195"/>
      <c r="AY169" s="195"/>
      <c r="AZ169" s="195"/>
      <c r="BA169" s="195"/>
    </row>
    <row r="170" spans="1:53" hidden="1" x14ac:dyDescent="0.2">
      <c r="A170" s="189"/>
      <c r="B170" s="168"/>
      <c r="C170" s="168"/>
      <c r="D170" s="168"/>
      <c r="E170" s="168"/>
      <c r="F170" s="168"/>
      <c r="G170" s="168"/>
      <c r="H170" s="168"/>
      <c r="I170" s="168"/>
      <c r="J170" s="168"/>
      <c r="K170" s="168"/>
      <c r="L170" s="168"/>
      <c r="M170" s="349" t="s">
        <v>192</v>
      </c>
      <c r="N170" s="470"/>
      <c r="O170" s="350"/>
      <c r="P170" s="171"/>
      <c r="Q170" s="171"/>
      <c r="R170" s="171"/>
      <c r="S170" s="171"/>
      <c r="T170" s="171"/>
      <c r="U170" s="73">
        <f t="shared" si="17"/>
        <v>0</v>
      </c>
      <c r="V170" s="206"/>
      <c r="W170" s="206"/>
      <c r="X170" s="195"/>
      <c r="Y170" s="195"/>
      <c r="Z170" s="195"/>
      <c r="AA170" s="195"/>
      <c r="AB170" s="195"/>
      <c r="AC170" s="195"/>
      <c r="AD170" s="195"/>
      <c r="AE170" s="195"/>
      <c r="AF170" s="195"/>
      <c r="AG170" s="195"/>
      <c r="AH170" s="195"/>
      <c r="AI170" s="195"/>
      <c r="AJ170" s="195"/>
      <c r="AK170" s="195"/>
      <c r="AL170" s="195"/>
      <c r="AM170" s="195"/>
      <c r="AN170" s="195"/>
      <c r="AO170" s="195"/>
      <c r="AP170" s="195"/>
      <c r="AQ170" s="195"/>
      <c r="AR170" s="195"/>
      <c r="AS170" s="195"/>
      <c r="AT170" s="195"/>
      <c r="AU170" s="195"/>
      <c r="AV170" s="195"/>
      <c r="AW170" s="195"/>
      <c r="AX170" s="195"/>
      <c r="AY170" s="195"/>
      <c r="AZ170" s="195"/>
      <c r="BA170" s="195"/>
    </row>
    <row r="171" spans="1:53" hidden="1" x14ac:dyDescent="0.2">
      <c r="A171" s="189"/>
      <c r="B171" s="168"/>
      <c r="C171" s="168"/>
      <c r="D171" s="168"/>
      <c r="E171" s="168"/>
      <c r="F171" s="168"/>
      <c r="G171" s="168"/>
      <c r="H171" s="168"/>
      <c r="I171" s="168"/>
      <c r="J171" s="168"/>
      <c r="K171" s="168"/>
      <c r="L171" s="168"/>
      <c r="M171" s="349" t="s">
        <v>192</v>
      </c>
      <c r="N171" s="470"/>
      <c r="O171" s="350"/>
      <c r="P171" s="171"/>
      <c r="Q171" s="171"/>
      <c r="R171" s="171"/>
      <c r="S171" s="171"/>
      <c r="T171" s="171"/>
      <c r="U171" s="73">
        <f t="shared" si="17"/>
        <v>0</v>
      </c>
      <c r="V171" s="206"/>
      <c r="W171" s="195"/>
      <c r="X171" s="195"/>
      <c r="Y171" s="195"/>
      <c r="Z171" s="195"/>
      <c r="AA171" s="195"/>
      <c r="AB171" s="195"/>
      <c r="AC171" s="195"/>
      <c r="AD171" s="195"/>
      <c r="AE171" s="195"/>
      <c r="AF171" s="195"/>
      <c r="AG171" s="195"/>
      <c r="AH171" s="195"/>
      <c r="AI171" s="195"/>
      <c r="AJ171" s="195"/>
      <c r="AK171" s="195"/>
      <c r="AL171" s="195"/>
      <c r="AM171" s="195"/>
      <c r="AN171" s="195"/>
      <c r="AO171" s="195"/>
      <c r="AP171" s="195"/>
      <c r="AQ171" s="195"/>
      <c r="AR171" s="195"/>
      <c r="AS171" s="195"/>
      <c r="AT171" s="195"/>
      <c r="AU171" s="195"/>
      <c r="AV171" s="195"/>
      <c r="AW171" s="195"/>
      <c r="AX171" s="195"/>
      <c r="AY171" s="195"/>
      <c r="AZ171" s="195"/>
      <c r="BA171" s="195"/>
    </row>
    <row r="172" spans="1:53" hidden="1" x14ac:dyDescent="0.2">
      <c r="A172" s="189"/>
      <c r="B172" s="168"/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349" t="s">
        <v>192</v>
      </c>
      <c r="N172" s="470"/>
      <c r="O172" s="350"/>
      <c r="P172" s="171"/>
      <c r="Q172" s="171"/>
      <c r="R172" s="171"/>
      <c r="S172" s="171"/>
      <c r="T172" s="171"/>
      <c r="U172" s="73">
        <f t="shared" si="17"/>
        <v>0</v>
      </c>
      <c r="V172" s="206"/>
      <c r="W172" s="195"/>
      <c r="X172" s="195"/>
      <c r="Y172" s="195"/>
      <c r="Z172" s="195"/>
      <c r="AA172" s="195"/>
      <c r="AB172" s="195"/>
      <c r="AC172" s="195"/>
      <c r="AD172" s="195"/>
      <c r="AE172" s="195"/>
      <c r="AF172" s="195"/>
      <c r="AG172" s="195"/>
      <c r="AH172" s="195"/>
      <c r="AI172" s="195"/>
      <c r="AJ172" s="195"/>
      <c r="AK172" s="195"/>
      <c r="AL172" s="195"/>
      <c r="AM172" s="195"/>
      <c r="AN172" s="195"/>
      <c r="AO172" s="195"/>
      <c r="AP172" s="195"/>
      <c r="AQ172" s="195"/>
      <c r="AR172" s="195"/>
      <c r="AS172" s="195"/>
      <c r="AT172" s="195"/>
      <c r="AU172" s="195"/>
      <c r="AV172" s="195"/>
      <c r="AW172" s="195"/>
      <c r="AX172" s="195"/>
      <c r="AY172" s="195"/>
      <c r="AZ172" s="195"/>
      <c r="BA172" s="195"/>
    </row>
    <row r="173" spans="1:53" hidden="1" x14ac:dyDescent="0.2">
      <c r="A173" s="189"/>
      <c r="B173" s="168"/>
      <c r="C173" s="168"/>
      <c r="D173" s="168"/>
      <c r="E173" s="168"/>
      <c r="F173" s="168"/>
      <c r="G173" s="168"/>
      <c r="H173" s="168"/>
      <c r="I173" s="168"/>
      <c r="J173" s="168"/>
      <c r="K173" s="168"/>
      <c r="L173" s="168"/>
      <c r="M173" s="349" t="s">
        <v>192</v>
      </c>
      <c r="N173" s="470"/>
      <c r="O173" s="350"/>
      <c r="P173" s="171"/>
      <c r="Q173" s="171"/>
      <c r="R173" s="171"/>
      <c r="S173" s="171"/>
      <c r="T173" s="171"/>
      <c r="U173" s="73">
        <f t="shared" si="17"/>
        <v>0</v>
      </c>
      <c r="V173" s="206"/>
      <c r="W173" s="195"/>
      <c r="X173" s="195"/>
      <c r="Y173" s="195"/>
      <c r="Z173" s="195"/>
      <c r="AA173" s="195"/>
      <c r="AB173" s="195"/>
      <c r="AC173" s="195"/>
      <c r="AD173" s="195"/>
      <c r="AE173" s="195"/>
      <c r="AF173" s="195"/>
      <c r="AG173" s="195"/>
      <c r="AH173" s="195"/>
      <c r="AI173" s="195"/>
      <c r="AJ173" s="195"/>
      <c r="AK173" s="195"/>
      <c r="AL173" s="195"/>
      <c r="AM173" s="195"/>
      <c r="AN173" s="195"/>
      <c r="AO173" s="195"/>
      <c r="AP173" s="195"/>
      <c r="AQ173" s="195"/>
      <c r="AR173" s="195"/>
      <c r="AS173" s="195"/>
      <c r="AT173" s="195"/>
      <c r="AU173" s="195"/>
      <c r="AV173" s="195"/>
      <c r="AW173" s="195"/>
      <c r="AX173" s="195"/>
      <c r="AY173" s="195"/>
      <c r="AZ173" s="195"/>
      <c r="BA173" s="195"/>
    </row>
    <row r="174" spans="1:53" hidden="1" x14ac:dyDescent="0.2">
      <c r="A174" s="189"/>
      <c r="B174" s="168"/>
      <c r="C174" s="168"/>
      <c r="D174" s="168"/>
      <c r="E174" s="168"/>
      <c r="F174" s="168"/>
      <c r="G174" s="168"/>
      <c r="H174" s="168"/>
      <c r="I174" s="168"/>
      <c r="J174" s="168"/>
      <c r="K174" s="168"/>
      <c r="L174" s="168"/>
      <c r="M174" s="349" t="s">
        <v>192</v>
      </c>
      <c r="N174" s="470"/>
      <c r="O174" s="350"/>
      <c r="P174" s="171"/>
      <c r="Q174" s="171"/>
      <c r="R174" s="171"/>
      <c r="S174" s="171"/>
      <c r="T174" s="171"/>
      <c r="U174" s="73">
        <f t="shared" si="17"/>
        <v>0</v>
      </c>
      <c r="V174" s="206"/>
      <c r="W174" s="195"/>
      <c r="X174" s="195"/>
      <c r="Y174" s="195"/>
      <c r="Z174" s="195"/>
      <c r="AA174" s="195"/>
      <c r="AB174" s="195"/>
      <c r="AC174" s="195"/>
      <c r="AD174" s="195"/>
      <c r="AE174" s="195"/>
      <c r="AF174" s="195"/>
      <c r="AG174" s="195"/>
      <c r="AH174" s="195"/>
      <c r="AI174" s="195"/>
      <c r="AJ174" s="195"/>
      <c r="AK174" s="195"/>
      <c r="AL174" s="195"/>
      <c r="AM174" s="195"/>
      <c r="AN174" s="195"/>
      <c r="AO174" s="195"/>
      <c r="AP174" s="195"/>
      <c r="AQ174" s="195"/>
      <c r="AR174" s="195"/>
      <c r="AS174" s="195"/>
      <c r="AT174" s="195"/>
      <c r="AU174" s="195"/>
      <c r="AV174" s="195"/>
      <c r="AW174" s="195"/>
      <c r="AX174" s="195"/>
      <c r="AY174" s="195"/>
      <c r="AZ174" s="195"/>
      <c r="BA174" s="195"/>
    </row>
    <row r="175" spans="1:53" hidden="1" x14ac:dyDescent="0.2">
      <c r="A175" s="189"/>
      <c r="B175" s="168"/>
      <c r="C175" s="168"/>
      <c r="D175" s="168"/>
      <c r="E175" s="168"/>
      <c r="F175" s="168"/>
      <c r="G175" s="168"/>
      <c r="H175" s="168"/>
      <c r="I175" s="168"/>
      <c r="J175" s="168"/>
      <c r="K175" s="168"/>
      <c r="L175" s="168"/>
      <c r="M175" s="349" t="s">
        <v>192</v>
      </c>
      <c r="N175" s="470"/>
      <c r="O175" s="350"/>
      <c r="P175" s="171"/>
      <c r="Q175" s="171"/>
      <c r="R175" s="171"/>
      <c r="S175" s="171"/>
      <c r="T175" s="171"/>
      <c r="U175" s="73">
        <f t="shared" si="17"/>
        <v>0</v>
      </c>
      <c r="V175" s="206"/>
      <c r="W175" s="195"/>
      <c r="X175" s="195"/>
      <c r="Y175" s="195"/>
      <c r="Z175" s="195"/>
      <c r="AA175" s="195"/>
      <c r="AB175" s="195"/>
      <c r="AC175" s="195"/>
      <c r="AD175" s="195"/>
      <c r="AE175" s="195"/>
      <c r="AF175" s="195"/>
      <c r="AG175" s="195"/>
      <c r="AH175" s="195"/>
      <c r="AI175" s="195"/>
      <c r="AJ175" s="195"/>
      <c r="AK175" s="195"/>
      <c r="AL175" s="195"/>
      <c r="AM175" s="195"/>
      <c r="AN175" s="195"/>
      <c r="AO175" s="195"/>
      <c r="AP175" s="195"/>
      <c r="AQ175" s="195"/>
      <c r="AR175" s="195"/>
      <c r="AS175" s="195"/>
      <c r="AT175" s="195"/>
      <c r="AU175" s="195"/>
      <c r="AV175" s="195"/>
      <c r="AW175" s="195"/>
      <c r="AX175" s="195"/>
      <c r="AY175" s="195"/>
      <c r="AZ175" s="195"/>
      <c r="BA175" s="195"/>
    </row>
    <row r="176" spans="1:53" hidden="1" x14ac:dyDescent="0.2">
      <c r="A176" s="189"/>
      <c r="B176" s="168"/>
      <c r="C176" s="168"/>
      <c r="D176" s="168"/>
      <c r="E176" s="168"/>
      <c r="F176" s="168"/>
      <c r="G176" s="168"/>
      <c r="H176" s="168"/>
      <c r="I176" s="168"/>
      <c r="J176" s="168"/>
      <c r="K176" s="168"/>
      <c r="L176" s="168"/>
      <c r="M176" s="349" t="s">
        <v>192</v>
      </c>
      <c r="N176" s="470"/>
      <c r="O176" s="350"/>
      <c r="P176" s="171"/>
      <c r="Q176" s="171"/>
      <c r="R176" s="171"/>
      <c r="S176" s="171"/>
      <c r="T176" s="171"/>
      <c r="U176" s="73">
        <f t="shared" si="17"/>
        <v>0</v>
      </c>
      <c r="V176" s="206"/>
      <c r="W176" s="195"/>
      <c r="X176" s="195"/>
      <c r="Y176" s="195"/>
      <c r="Z176" s="195"/>
      <c r="AA176" s="195"/>
      <c r="AB176" s="195"/>
      <c r="AC176" s="195"/>
      <c r="AD176" s="195"/>
      <c r="AE176" s="195"/>
      <c r="AF176" s="195"/>
      <c r="AG176" s="195"/>
      <c r="AH176" s="195"/>
      <c r="AI176" s="195"/>
      <c r="AJ176" s="195"/>
      <c r="AK176" s="195"/>
      <c r="AL176" s="195"/>
      <c r="AM176" s="195"/>
      <c r="AN176" s="195"/>
      <c r="AO176" s="195"/>
      <c r="AP176" s="195"/>
      <c r="AQ176" s="195"/>
      <c r="AR176" s="195"/>
      <c r="AS176" s="195"/>
      <c r="AT176" s="195"/>
      <c r="AU176" s="195"/>
      <c r="AV176" s="195"/>
      <c r="AW176" s="195"/>
      <c r="AX176" s="195"/>
      <c r="AY176" s="195"/>
      <c r="AZ176" s="195"/>
      <c r="BA176" s="195"/>
    </row>
    <row r="177" spans="1:53" hidden="1" x14ac:dyDescent="0.2">
      <c r="A177" s="189"/>
      <c r="B177" s="168"/>
      <c r="C177" s="168"/>
      <c r="D177" s="168"/>
      <c r="E177" s="168"/>
      <c r="F177" s="168"/>
      <c r="G177" s="168"/>
      <c r="H177" s="168"/>
      <c r="I177" s="168"/>
      <c r="J177" s="168"/>
      <c r="K177" s="168"/>
      <c r="L177" s="168"/>
      <c r="M177" s="349" t="s">
        <v>192</v>
      </c>
      <c r="N177" s="470"/>
      <c r="O177" s="350"/>
      <c r="P177" s="171"/>
      <c r="Q177" s="171"/>
      <c r="R177" s="171"/>
      <c r="S177" s="171"/>
      <c r="T177" s="171"/>
      <c r="U177" s="73">
        <f t="shared" si="17"/>
        <v>0</v>
      </c>
      <c r="V177" s="206"/>
      <c r="W177" s="195"/>
      <c r="X177" s="195"/>
      <c r="Y177" s="195"/>
      <c r="Z177" s="195"/>
      <c r="AA177" s="195"/>
      <c r="AB177" s="195"/>
      <c r="AC177" s="195"/>
      <c r="AD177" s="195"/>
      <c r="AE177" s="195"/>
      <c r="AF177" s="195"/>
      <c r="AG177" s="195"/>
      <c r="AH177" s="195"/>
      <c r="AI177" s="195"/>
      <c r="AJ177" s="195"/>
      <c r="AK177" s="195"/>
      <c r="AL177" s="195"/>
      <c r="AM177" s="195"/>
      <c r="AN177" s="195"/>
      <c r="AO177" s="195"/>
      <c r="AP177" s="195"/>
      <c r="AQ177" s="195"/>
      <c r="AR177" s="195"/>
      <c r="AS177" s="195"/>
      <c r="AT177" s="195"/>
      <c r="AU177" s="195"/>
      <c r="AV177" s="195"/>
      <c r="AW177" s="195"/>
      <c r="AX177" s="195"/>
      <c r="AY177" s="195"/>
      <c r="AZ177" s="195"/>
      <c r="BA177" s="195"/>
    </row>
    <row r="178" spans="1:53" hidden="1" x14ac:dyDescent="0.2">
      <c r="A178" s="189"/>
      <c r="B178" s="168"/>
      <c r="C178" s="168"/>
      <c r="D178" s="168"/>
      <c r="E178" s="168"/>
      <c r="F178" s="168"/>
      <c r="G178" s="168"/>
      <c r="H178" s="168"/>
      <c r="I178" s="168"/>
      <c r="J178" s="168"/>
      <c r="K178" s="168"/>
      <c r="L178" s="168"/>
      <c r="M178" s="349" t="s">
        <v>192</v>
      </c>
      <c r="N178" s="470"/>
      <c r="O178" s="350"/>
      <c r="P178" s="171"/>
      <c r="Q178" s="171"/>
      <c r="R178" s="171"/>
      <c r="S178" s="171"/>
      <c r="T178" s="171"/>
      <c r="U178" s="73">
        <f t="shared" si="17"/>
        <v>0</v>
      </c>
      <c r="V178" s="206"/>
      <c r="W178" s="195"/>
      <c r="X178" s="195"/>
      <c r="Y178" s="195"/>
      <c r="Z178" s="195"/>
      <c r="AA178" s="195"/>
      <c r="AB178" s="195"/>
      <c r="AC178" s="195"/>
      <c r="AD178" s="195"/>
      <c r="AE178" s="195"/>
      <c r="AF178" s="195"/>
      <c r="AG178" s="195"/>
      <c r="AH178" s="195"/>
      <c r="AI178" s="195"/>
      <c r="AJ178" s="195"/>
      <c r="AK178" s="195"/>
      <c r="AL178" s="195"/>
      <c r="AM178" s="195"/>
      <c r="AN178" s="195"/>
      <c r="AO178" s="195"/>
      <c r="AP178" s="195"/>
      <c r="AQ178" s="195"/>
      <c r="AR178" s="195"/>
      <c r="AS178" s="195"/>
      <c r="AT178" s="195"/>
      <c r="AU178" s="195"/>
      <c r="AV178" s="195"/>
      <c r="AW178" s="195"/>
      <c r="AX178" s="195"/>
      <c r="AY178" s="195"/>
      <c r="AZ178" s="195"/>
      <c r="BA178" s="195"/>
    </row>
    <row r="179" spans="1:53" hidden="1" x14ac:dyDescent="0.2">
      <c r="A179" s="189"/>
      <c r="B179" s="168"/>
      <c r="C179" s="168"/>
      <c r="D179" s="168"/>
      <c r="E179" s="168"/>
      <c r="F179" s="168"/>
      <c r="G179" s="168"/>
      <c r="H179" s="168"/>
      <c r="I179" s="168"/>
      <c r="J179" s="168"/>
      <c r="K179" s="168"/>
      <c r="L179" s="168"/>
      <c r="M179" s="349" t="s">
        <v>192</v>
      </c>
      <c r="N179" s="470"/>
      <c r="O179" s="350"/>
      <c r="P179" s="171"/>
      <c r="Q179" s="171"/>
      <c r="R179" s="171"/>
      <c r="S179" s="171"/>
      <c r="T179" s="171"/>
      <c r="U179" s="73">
        <f t="shared" si="17"/>
        <v>0</v>
      </c>
      <c r="V179" s="206"/>
      <c r="W179" s="195"/>
      <c r="X179" s="195"/>
      <c r="Y179" s="195"/>
      <c r="Z179" s="195"/>
      <c r="AA179" s="195"/>
      <c r="AB179" s="195"/>
      <c r="AC179" s="195"/>
      <c r="AD179" s="195"/>
      <c r="AE179" s="195"/>
      <c r="AF179" s="195"/>
      <c r="AG179" s="195"/>
      <c r="AH179" s="195"/>
      <c r="AI179" s="195"/>
      <c r="AJ179" s="195"/>
      <c r="AK179" s="195"/>
      <c r="AL179" s="195"/>
      <c r="AM179" s="195"/>
      <c r="AN179" s="195"/>
      <c r="AO179" s="195"/>
      <c r="AP179" s="195"/>
      <c r="AQ179" s="195"/>
      <c r="AR179" s="195"/>
      <c r="AS179" s="195"/>
      <c r="AT179" s="195"/>
      <c r="AU179" s="195"/>
      <c r="AV179" s="195"/>
      <c r="AW179" s="195"/>
      <c r="AX179" s="195"/>
      <c r="AY179" s="195"/>
      <c r="AZ179" s="195"/>
      <c r="BA179" s="195"/>
    </row>
    <row r="180" spans="1:53" hidden="1" x14ac:dyDescent="0.2">
      <c r="A180" s="189"/>
      <c r="B180" s="168"/>
      <c r="C180" s="168"/>
      <c r="D180" s="168"/>
      <c r="E180" s="168"/>
      <c r="F180" s="168"/>
      <c r="G180" s="168"/>
      <c r="H180" s="168"/>
      <c r="I180" s="168"/>
      <c r="J180" s="168"/>
      <c r="K180" s="168"/>
      <c r="L180" s="168"/>
      <c r="M180" s="349" t="s">
        <v>192</v>
      </c>
      <c r="N180" s="470"/>
      <c r="O180" s="350"/>
      <c r="P180" s="171"/>
      <c r="Q180" s="171"/>
      <c r="R180" s="171"/>
      <c r="S180" s="171"/>
      <c r="T180" s="171"/>
      <c r="U180" s="73">
        <f t="shared" si="17"/>
        <v>0</v>
      </c>
      <c r="V180" s="195"/>
      <c r="W180" s="195"/>
      <c r="X180" s="195"/>
      <c r="Y180" s="195"/>
      <c r="Z180" s="195"/>
      <c r="AA180" s="195"/>
      <c r="AB180" s="195"/>
      <c r="AC180" s="195"/>
      <c r="AD180" s="195"/>
      <c r="AE180" s="195"/>
      <c r="AF180" s="195"/>
      <c r="AG180" s="195"/>
      <c r="AH180" s="195"/>
      <c r="AI180" s="195"/>
      <c r="AJ180" s="195"/>
      <c r="AK180" s="195"/>
      <c r="AL180" s="195"/>
      <c r="AM180" s="195"/>
      <c r="AN180" s="195"/>
      <c r="AO180" s="195"/>
      <c r="AP180" s="195"/>
      <c r="AQ180" s="195"/>
      <c r="AR180" s="195"/>
      <c r="AS180" s="195"/>
      <c r="AT180" s="195"/>
      <c r="AU180" s="195"/>
      <c r="AV180" s="195"/>
      <c r="AW180" s="195"/>
      <c r="AX180" s="195"/>
      <c r="AY180" s="195"/>
      <c r="AZ180" s="195"/>
      <c r="BA180" s="195"/>
    </row>
    <row r="181" spans="1:53" hidden="1" x14ac:dyDescent="0.2">
      <c r="A181" s="189"/>
      <c r="B181" s="168"/>
      <c r="C181" s="168"/>
      <c r="D181" s="168"/>
      <c r="E181" s="168"/>
      <c r="F181" s="168"/>
      <c r="G181" s="168"/>
      <c r="H181" s="168"/>
      <c r="I181" s="168"/>
      <c r="J181" s="168"/>
      <c r="K181" s="168"/>
      <c r="L181" s="168"/>
      <c r="M181" s="349" t="s">
        <v>192</v>
      </c>
      <c r="N181" s="470"/>
      <c r="O181" s="350"/>
      <c r="P181" s="171"/>
      <c r="Q181" s="171"/>
      <c r="R181" s="171"/>
      <c r="S181" s="171"/>
      <c r="T181" s="171"/>
      <c r="U181" s="73">
        <f t="shared" si="17"/>
        <v>0</v>
      </c>
      <c r="V181" s="195"/>
      <c r="W181" s="195"/>
      <c r="X181" s="195"/>
      <c r="Y181" s="195"/>
      <c r="Z181" s="195"/>
      <c r="AA181" s="195"/>
      <c r="AB181" s="195"/>
      <c r="AC181" s="195"/>
      <c r="AD181" s="195"/>
      <c r="AE181" s="195"/>
      <c r="AF181" s="195"/>
      <c r="AG181" s="195"/>
      <c r="AH181" s="195"/>
      <c r="AI181" s="195"/>
      <c r="AJ181" s="195"/>
      <c r="AK181" s="195"/>
      <c r="AL181" s="195"/>
      <c r="AM181" s="195"/>
      <c r="AN181" s="195"/>
      <c r="AO181" s="195"/>
      <c r="AP181" s="195"/>
      <c r="AQ181" s="195"/>
      <c r="AR181" s="195"/>
      <c r="AS181" s="195"/>
      <c r="AT181" s="195"/>
      <c r="AU181" s="195"/>
      <c r="AV181" s="195"/>
      <c r="AW181" s="195"/>
      <c r="AX181" s="195"/>
      <c r="AY181" s="195"/>
      <c r="AZ181" s="195"/>
      <c r="BA181" s="195"/>
    </row>
    <row r="182" spans="1:53" hidden="1" x14ac:dyDescent="0.2">
      <c r="A182" s="189"/>
      <c r="B182" s="168"/>
      <c r="C182" s="168"/>
      <c r="D182" s="168"/>
      <c r="E182" s="168"/>
      <c r="F182" s="168"/>
      <c r="G182" s="168"/>
      <c r="H182" s="168"/>
      <c r="I182" s="168"/>
      <c r="J182" s="168"/>
      <c r="K182" s="168"/>
      <c r="L182" s="168"/>
      <c r="M182" s="349" t="s">
        <v>192</v>
      </c>
      <c r="N182" s="470"/>
      <c r="O182" s="350"/>
      <c r="P182" s="171"/>
      <c r="Q182" s="171"/>
      <c r="R182" s="171"/>
      <c r="S182" s="171"/>
      <c r="T182" s="171"/>
      <c r="U182" s="73">
        <f t="shared" si="17"/>
        <v>0</v>
      </c>
      <c r="V182" s="195"/>
      <c r="W182" s="195"/>
      <c r="X182" s="195"/>
      <c r="Y182" s="195"/>
      <c r="Z182" s="195"/>
      <c r="AA182" s="195"/>
      <c r="AB182" s="195"/>
      <c r="AC182" s="195"/>
      <c r="AD182" s="195"/>
      <c r="AE182" s="195"/>
      <c r="AF182" s="195"/>
      <c r="AG182" s="195"/>
      <c r="AH182" s="195"/>
      <c r="AI182" s="195"/>
      <c r="AJ182" s="195"/>
      <c r="AK182" s="195"/>
      <c r="AL182" s="195"/>
      <c r="AM182" s="195"/>
      <c r="AN182" s="195"/>
      <c r="AO182" s="195"/>
      <c r="AP182" s="195"/>
      <c r="AQ182" s="195"/>
      <c r="AR182" s="195"/>
      <c r="AS182" s="195"/>
      <c r="AT182" s="195"/>
      <c r="AU182" s="195"/>
      <c r="AV182" s="195"/>
      <c r="AW182" s="195"/>
      <c r="AX182" s="195"/>
      <c r="AY182" s="195"/>
      <c r="AZ182" s="195"/>
      <c r="BA182" s="195"/>
    </row>
    <row r="183" spans="1:53" x14ac:dyDescent="0.2">
      <c r="A183" s="401" t="s">
        <v>56</v>
      </c>
      <c r="B183" s="402"/>
      <c r="C183" s="402"/>
      <c r="D183" s="122"/>
      <c r="E183" s="122"/>
      <c r="F183" s="122"/>
      <c r="G183" s="122"/>
      <c r="H183" s="122"/>
      <c r="I183" s="122"/>
      <c r="J183" s="122"/>
      <c r="K183" s="122"/>
      <c r="L183" s="122"/>
      <c r="M183" s="127"/>
      <c r="N183" s="122"/>
      <c r="O183" s="128"/>
      <c r="P183" s="126">
        <f t="shared" ref="P183:U183" si="18">SUM(P156:P182)</f>
        <v>0</v>
      </c>
      <c r="Q183" s="126">
        <f t="shared" si="18"/>
        <v>0</v>
      </c>
      <c r="R183" s="126">
        <f t="shared" si="18"/>
        <v>0</v>
      </c>
      <c r="S183" s="126">
        <f t="shared" si="18"/>
        <v>0</v>
      </c>
      <c r="T183" s="126">
        <f t="shared" si="18"/>
        <v>0</v>
      </c>
      <c r="U183" s="126">
        <f t="shared" si="18"/>
        <v>0</v>
      </c>
      <c r="V183" s="195"/>
      <c r="W183" s="195"/>
      <c r="X183" s="195"/>
      <c r="Y183" s="195"/>
      <c r="Z183" s="195"/>
      <c r="AA183" s="195"/>
      <c r="AB183" s="195"/>
      <c r="AC183" s="195"/>
      <c r="AD183" s="195"/>
      <c r="AE183" s="195"/>
      <c r="AF183" s="195"/>
      <c r="AG183" s="195"/>
      <c r="AH183" s="195"/>
      <c r="AI183" s="195"/>
      <c r="AJ183" s="195"/>
      <c r="AK183" s="195"/>
      <c r="AL183" s="195"/>
      <c r="AM183" s="195"/>
      <c r="AN183" s="195"/>
      <c r="AO183" s="195"/>
      <c r="AP183" s="195"/>
      <c r="AQ183" s="195"/>
      <c r="AR183" s="195"/>
      <c r="AS183" s="195"/>
      <c r="AT183" s="195"/>
      <c r="AU183" s="195"/>
      <c r="AV183" s="195"/>
      <c r="AW183" s="195"/>
      <c r="AX183" s="195"/>
      <c r="AY183" s="195"/>
      <c r="AZ183" s="195"/>
      <c r="BA183" s="195"/>
    </row>
    <row r="184" spans="1:53" x14ac:dyDescent="0.2">
      <c r="A184" s="484" t="s">
        <v>163</v>
      </c>
      <c r="B184" s="484"/>
      <c r="C184" s="484"/>
      <c r="D184" s="484"/>
      <c r="E184" s="484"/>
      <c r="F184" s="484"/>
      <c r="G184" s="484"/>
      <c r="H184" s="484"/>
      <c r="I184" s="484"/>
      <c r="J184" s="484"/>
      <c r="K184" s="484"/>
      <c r="L184" s="484"/>
      <c r="M184" s="484"/>
      <c r="N184" s="484"/>
      <c r="O184" s="484"/>
      <c r="P184" s="111">
        <f ca="1">SUMIF(M156:O182,"IC of Above",P156:P182)</f>
        <v>0</v>
      </c>
      <c r="Q184" s="111">
        <f ca="1">SUMIF($M$156:$O$182,"IC of Above",Q156:Q182)</f>
        <v>0</v>
      </c>
      <c r="R184" s="111">
        <f t="shared" ref="R184:S184" ca="1" si="19">SUMIF($M$156:$O$182,"IC of Above",R156:R182)</f>
        <v>0</v>
      </c>
      <c r="S184" s="111">
        <f t="shared" ca="1" si="19"/>
        <v>0</v>
      </c>
      <c r="T184" s="111">
        <f ca="1">SUMIF($M$156:$O$182,"IC of Above",T156:T182)</f>
        <v>0</v>
      </c>
      <c r="U184" s="111">
        <f ca="1">SUM(P184:T184)</f>
        <v>0</v>
      </c>
      <c r="V184" s="195"/>
      <c r="W184" s="195"/>
      <c r="X184" s="195"/>
      <c r="Y184" s="195"/>
      <c r="Z184" s="195"/>
      <c r="AA184" s="195"/>
      <c r="AB184" s="195"/>
      <c r="AC184" s="195"/>
      <c r="AD184" s="195"/>
      <c r="AE184" s="195"/>
      <c r="AF184" s="195"/>
      <c r="AG184" s="195"/>
      <c r="AH184" s="195"/>
      <c r="AI184" s="195"/>
      <c r="AJ184" s="195"/>
      <c r="AK184" s="195"/>
      <c r="AL184" s="195"/>
      <c r="AM184" s="195"/>
      <c r="AN184" s="195"/>
      <c r="AO184" s="195"/>
      <c r="AP184" s="195"/>
      <c r="AQ184" s="195"/>
      <c r="AR184" s="195"/>
      <c r="AS184" s="195"/>
      <c r="AT184" s="195"/>
      <c r="AU184" s="195"/>
      <c r="AV184" s="195"/>
      <c r="AW184" s="195"/>
      <c r="AX184" s="195"/>
      <c r="AY184" s="195"/>
      <c r="AZ184" s="195"/>
      <c r="BA184" s="195"/>
    </row>
    <row r="185" spans="1:53" ht="9.6" customHeight="1" x14ac:dyDescent="0.2">
      <c r="A185" s="234"/>
      <c r="B185" s="234"/>
      <c r="C185" s="234"/>
      <c r="D185" s="234"/>
      <c r="E185" s="234"/>
      <c r="F185" s="234"/>
      <c r="G185" s="234"/>
      <c r="H185" s="234"/>
      <c r="I185" s="238"/>
      <c r="J185" s="238"/>
      <c r="K185" s="238"/>
      <c r="L185" s="238"/>
      <c r="M185" s="238"/>
      <c r="N185" s="238"/>
      <c r="O185" s="238"/>
      <c r="P185" s="239"/>
      <c r="Q185" s="239"/>
      <c r="R185" s="239"/>
      <c r="S185" s="239"/>
      <c r="T185" s="239"/>
      <c r="U185" s="239"/>
      <c r="V185" s="195"/>
      <c r="W185" s="195"/>
      <c r="X185" s="195"/>
      <c r="Y185" s="195"/>
      <c r="Z185" s="195"/>
      <c r="AA185" s="195"/>
      <c r="AB185" s="195"/>
      <c r="AC185" s="195"/>
      <c r="AD185" s="195"/>
      <c r="AE185" s="195"/>
      <c r="AF185" s="195"/>
      <c r="AG185" s="195"/>
      <c r="AH185" s="195"/>
      <c r="AI185" s="195"/>
      <c r="AJ185" s="195"/>
      <c r="AK185" s="195"/>
      <c r="AL185" s="195"/>
      <c r="AM185" s="195"/>
      <c r="AN185" s="195"/>
      <c r="AO185" s="195"/>
      <c r="AP185" s="195"/>
      <c r="AQ185" s="195"/>
      <c r="AR185" s="195"/>
      <c r="AS185" s="195"/>
      <c r="AT185" s="195"/>
      <c r="AU185" s="195"/>
      <c r="AV185" s="195"/>
      <c r="AW185" s="195"/>
      <c r="AX185" s="195"/>
      <c r="AY185" s="195"/>
      <c r="AZ185" s="195"/>
      <c r="BA185" s="195"/>
    </row>
    <row r="186" spans="1:53" ht="15.75" customHeight="1" x14ac:dyDescent="0.2">
      <c r="A186" s="50" t="s">
        <v>60</v>
      </c>
      <c r="B186" s="223"/>
      <c r="C186" s="223"/>
      <c r="D186" s="96"/>
      <c r="E186" s="96"/>
      <c r="F186" s="96"/>
      <c r="G186" s="51"/>
      <c r="H186" s="359" t="s">
        <v>227</v>
      </c>
      <c r="I186" s="480"/>
      <c r="J186" s="360"/>
      <c r="K186" s="44" t="s">
        <v>133</v>
      </c>
      <c r="L186" s="44" t="s">
        <v>134</v>
      </c>
      <c r="M186" s="44" t="s">
        <v>135</v>
      </c>
      <c r="N186" s="44" t="s">
        <v>136</v>
      </c>
      <c r="O186" s="44" t="s">
        <v>137</v>
      </c>
      <c r="P186" s="481" t="s">
        <v>230</v>
      </c>
      <c r="Q186" s="482"/>
      <c r="R186" s="482"/>
      <c r="S186" s="482"/>
      <c r="T186" s="482"/>
      <c r="U186" s="483"/>
      <c r="V186" s="195"/>
      <c r="W186" s="195"/>
      <c r="X186" s="195"/>
      <c r="Y186" s="195"/>
      <c r="Z186" s="195"/>
      <c r="AA186" s="195"/>
      <c r="AB186" s="195"/>
      <c r="AC186" s="195"/>
      <c r="AD186" s="195"/>
      <c r="AE186" s="195"/>
      <c r="AF186" s="195"/>
      <c r="AG186" s="195"/>
      <c r="AH186" s="195"/>
      <c r="AI186" s="195"/>
      <c r="AJ186" s="195"/>
      <c r="AK186" s="195"/>
      <c r="AL186" s="195"/>
      <c r="AM186" s="195"/>
      <c r="AN186" s="195"/>
      <c r="AO186" s="195"/>
      <c r="AP186" s="195"/>
      <c r="AQ186" s="195"/>
      <c r="AR186" s="195"/>
      <c r="AS186" s="195"/>
      <c r="AT186" s="195"/>
      <c r="AU186" s="195"/>
      <c r="AV186" s="195"/>
      <c r="AW186" s="195"/>
      <c r="AX186" s="195"/>
      <c r="AY186" s="195"/>
      <c r="AZ186" s="195"/>
      <c r="BA186" s="195"/>
    </row>
    <row r="187" spans="1:53" x14ac:dyDescent="0.2">
      <c r="A187" s="50"/>
      <c r="B187" s="427" t="s">
        <v>228</v>
      </c>
      <c r="C187" s="427"/>
      <c r="D187" s="427"/>
      <c r="E187" s="427"/>
      <c r="F187" s="427"/>
      <c r="G187" s="427"/>
      <c r="H187" s="427"/>
      <c r="I187" s="427"/>
      <c r="J187" s="428"/>
      <c r="K187" s="255">
        <f>Worksheet!M16</f>
        <v>9</v>
      </c>
      <c r="L187" s="255">
        <f>Worksheet!N16</f>
        <v>9</v>
      </c>
      <c r="M187" s="255">
        <f>Worksheet!O16</f>
        <v>9</v>
      </c>
      <c r="N187" s="255">
        <f>Worksheet!P16</f>
        <v>9</v>
      </c>
      <c r="O187" s="255">
        <f>Worksheet!Q16</f>
        <v>9</v>
      </c>
      <c r="P187" s="253" t="str">
        <f>Worksheet!C25&amp;"/"&amp;Worksheet!C26</f>
        <v>9/0</v>
      </c>
      <c r="Q187" s="253" t="str">
        <f>Worksheet!D25&amp;"/"&amp;Worksheet!D26</f>
        <v>9/0</v>
      </c>
      <c r="R187" s="253" t="str">
        <f>Worksheet!E25&amp;"/"&amp;Worksheet!E26</f>
        <v>9/0</v>
      </c>
      <c r="S187" s="253" t="str">
        <f>Worksheet!F25&amp;"/"&amp;Worksheet!F26</f>
        <v>9/0</v>
      </c>
      <c r="T187" s="253" t="str">
        <f>Worksheet!G25&amp;"/"&amp;Worksheet!G26</f>
        <v>9/0</v>
      </c>
      <c r="U187" s="254" t="s">
        <v>11</v>
      </c>
      <c r="V187" s="195"/>
      <c r="W187" s="195"/>
      <c r="X187" s="195"/>
      <c r="Y187" s="195"/>
      <c r="Z187" s="195"/>
      <c r="AA187" s="195"/>
      <c r="AB187" s="195"/>
      <c r="AC187" s="195"/>
      <c r="AD187" s="195"/>
      <c r="AE187" s="195"/>
      <c r="AF187" s="195"/>
      <c r="AG187" s="195"/>
      <c r="AH187" s="195"/>
      <c r="AI187" s="195"/>
      <c r="AJ187" s="195"/>
      <c r="AK187" s="195"/>
      <c r="AL187" s="195"/>
      <c r="AM187" s="195"/>
      <c r="AN187" s="195"/>
      <c r="AO187" s="195"/>
      <c r="AP187" s="195"/>
      <c r="AQ187" s="195"/>
      <c r="AR187" s="195"/>
      <c r="AS187" s="195"/>
      <c r="AT187" s="195"/>
      <c r="AU187" s="195"/>
      <c r="AV187" s="195"/>
      <c r="AW187" s="195"/>
      <c r="AX187" s="195"/>
      <c r="AY187" s="195"/>
      <c r="AZ187" s="195"/>
      <c r="BA187" s="195"/>
    </row>
    <row r="188" spans="1:53" x14ac:dyDescent="0.2">
      <c r="A188" s="435" t="s">
        <v>139</v>
      </c>
      <c r="B188" s="436"/>
      <c r="C188" s="437"/>
      <c r="D188" s="455" t="s">
        <v>155</v>
      </c>
      <c r="E188" s="456"/>
      <c r="F188" s="456"/>
      <c r="G188" s="457"/>
      <c r="H188" s="174" t="s">
        <v>193</v>
      </c>
      <c r="I188" s="453" t="s">
        <v>140</v>
      </c>
      <c r="J188" s="454"/>
      <c r="K188" s="175" t="s">
        <v>138</v>
      </c>
      <c r="L188" s="175" t="s">
        <v>138</v>
      </c>
      <c r="M188" s="175" t="s">
        <v>138</v>
      </c>
      <c r="N188" s="175" t="s">
        <v>138</v>
      </c>
      <c r="O188" s="175" t="s">
        <v>138</v>
      </c>
      <c r="P188" s="230">
        <f ca="1">SUM(P189:P200)</f>
        <v>0</v>
      </c>
      <c r="Q188" s="230">
        <f ca="1">SUM(Q189:Q200)</f>
        <v>0</v>
      </c>
      <c r="R188" s="230">
        <f ca="1">SUM(R189:R200)</f>
        <v>0</v>
      </c>
      <c r="S188" s="230">
        <f ca="1">SUM(S189:S200)</f>
        <v>0</v>
      </c>
      <c r="T188" s="230">
        <f ca="1">SUM(T189:T200)</f>
        <v>0</v>
      </c>
      <c r="U188" s="231">
        <f ca="1">SUM(P188:T188)</f>
        <v>0</v>
      </c>
      <c r="V188" s="195"/>
      <c r="W188" s="195"/>
      <c r="X188" s="195"/>
      <c r="Y188" s="195"/>
      <c r="Z188" s="195"/>
      <c r="AA188" s="195"/>
      <c r="AB188" s="195"/>
      <c r="AC188" s="195"/>
      <c r="AD188" s="195"/>
      <c r="AE188" s="195"/>
      <c r="AF188" s="195"/>
      <c r="AG188" s="195"/>
      <c r="AH188" s="195"/>
      <c r="AI188" s="195"/>
      <c r="AJ188" s="195"/>
      <c r="AK188" s="195"/>
      <c r="AL188" s="195"/>
      <c r="AM188" s="195"/>
      <c r="AN188" s="195"/>
      <c r="AO188" s="195"/>
      <c r="AP188" s="195"/>
      <c r="AQ188" s="195"/>
      <c r="AR188" s="195"/>
      <c r="AS188" s="195"/>
      <c r="AT188" s="195"/>
      <c r="AU188" s="195"/>
      <c r="AV188" s="195"/>
      <c r="AW188" s="195"/>
      <c r="AX188" s="195"/>
      <c r="AY188" s="195"/>
      <c r="AZ188" s="195"/>
      <c r="BA188" s="195"/>
    </row>
    <row r="189" spans="1:53" x14ac:dyDescent="0.2">
      <c r="A189" s="396"/>
      <c r="B189" s="397"/>
      <c r="C189" s="398"/>
      <c r="D189" s="396" t="s">
        <v>58</v>
      </c>
      <c r="E189" s="397"/>
      <c r="F189" s="397"/>
      <c r="G189" s="398"/>
      <c r="H189" s="172">
        <v>0.1</v>
      </c>
      <c r="I189" s="403">
        <v>17921</v>
      </c>
      <c r="J189" s="404"/>
      <c r="K189" s="173"/>
      <c r="L189" s="173"/>
      <c r="M189" s="173"/>
      <c r="N189" s="173"/>
      <c r="O189" s="173"/>
      <c r="P189" s="54">
        <f ca="1">IF(K$187=0,0,IF(K$188="#GSRs",ROUND(Worksheet!K223*K189,0),IF(AND(K$188="QRTs",K$187&lt;9),ROUND(Worksheet!K223/K$187*3*K189,0),ROUND(Worksheet!K223*K189/3,0))))</f>
        <v>0</v>
      </c>
      <c r="Q189" s="54">
        <f ca="1">IF(L$187=0,0,IF(L$188="#GSRs",ROUND(Worksheet!L223*L189,0),IF(AND(L$188="QRTs",L$187&lt;9),ROUND(Worksheet!L223/L$187*3*L189,0),ROUND(Worksheet!L223*L189/3,0))))</f>
        <v>0</v>
      </c>
      <c r="R189" s="54">
        <f ca="1">IF(M$187=0,0,IF(M$188="#GSRs",ROUND(Worksheet!M223*M189,0),IF(AND(M$188="QRTs",M$187&lt;9),ROUND(Worksheet!M223/M$187*3*M189,0),ROUND(Worksheet!M223*M189/3,0))))</f>
        <v>0</v>
      </c>
      <c r="S189" s="54">
        <f ca="1">IF(N$187=0,0,IF(N$188="#GSRs",ROUND(Worksheet!N223*N189,0),IF(AND(N$188="QRTs",N$187&lt;9),ROUND(Worksheet!N223/N$187*3*N189,0),ROUND(Worksheet!N223*N189/3,0))))</f>
        <v>0</v>
      </c>
      <c r="T189" s="54">
        <f ca="1">IF(O$187=0,0,IF(O$188="#GSRs",ROUND(Worksheet!O223*O189,0),IF(AND(O$188="QRTs",O$187&lt;9),ROUND(Worksheet!O223/O$187*3*O189,0),ROUND(Worksheet!O223*O189/3,0))))</f>
        <v>0</v>
      </c>
      <c r="U189" s="54">
        <f ca="1">SUM(P189:T189)</f>
        <v>0</v>
      </c>
      <c r="V189" s="203"/>
      <c r="W189" s="203"/>
      <c r="X189" s="203"/>
      <c r="Y189" s="203"/>
      <c r="Z189" s="203"/>
      <c r="AA189" s="195"/>
      <c r="AB189" s="195"/>
      <c r="AC189" s="195"/>
      <c r="AD189" s="195"/>
      <c r="AE189" s="195"/>
      <c r="AF189" s="195"/>
      <c r="AG189" s="195"/>
      <c r="AH189" s="195"/>
      <c r="AI189" s="195"/>
      <c r="AJ189" s="195"/>
      <c r="AK189" s="195"/>
      <c r="AL189" s="195"/>
      <c r="AM189" s="195"/>
      <c r="AN189" s="195"/>
      <c r="AO189" s="195"/>
      <c r="AP189" s="195"/>
      <c r="AQ189" s="195"/>
      <c r="AR189" s="195"/>
      <c r="AS189" s="195"/>
      <c r="AT189" s="195"/>
      <c r="AU189" s="195"/>
      <c r="AV189" s="195"/>
      <c r="AW189" s="195"/>
      <c r="AX189" s="195"/>
      <c r="AY189" s="195"/>
      <c r="AZ189" s="195"/>
      <c r="BA189" s="195"/>
    </row>
    <row r="190" spans="1:53" x14ac:dyDescent="0.2">
      <c r="A190" s="396"/>
      <c r="B190" s="397"/>
      <c r="C190" s="398"/>
      <c r="D190" s="396" t="s">
        <v>58</v>
      </c>
      <c r="E190" s="397"/>
      <c r="F190" s="397"/>
      <c r="G190" s="398"/>
      <c r="H190" s="172">
        <v>0.1</v>
      </c>
      <c r="I190" s="403">
        <v>17921</v>
      </c>
      <c r="J190" s="404"/>
      <c r="K190" s="173"/>
      <c r="L190" s="173"/>
      <c r="M190" s="173"/>
      <c r="N190" s="173"/>
      <c r="O190" s="173"/>
      <c r="P190" s="54">
        <f ca="1">IF(K$187=0,0,IF(K$188="#GSRs",ROUND(Worksheet!K224*K190,0),IF(AND(K$188="QRTs",K$187&lt;9),ROUND(Worksheet!K224/K$187*3*K190,0),ROUND(Worksheet!K224*K190/3,0))))</f>
        <v>0</v>
      </c>
      <c r="Q190" s="54">
        <f ca="1">IF(L$187=0,0,IF(L$188="#GSRs",ROUND(Worksheet!L224*L190,0),IF(AND(L$188="QRTs",L$187&lt;9),ROUND(Worksheet!L224/L$187*3*L190,0),ROUND(Worksheet!L224*L190/3,0))))</f>
        <v>0</v>
      </c>
      <c r="R190" s="54">
        <f ca="1">IF(M$187=0,0,IF(M$188="#GSRs",ROUND(Worksheet!M224*M190,0),IF(AND(M$188="QRTs",M$187&lt;9),ROUND(Worksheet!M224/M$187*3*M190,0),ROUND(Worksheet!M224*M190/3,0))))</f>
        <v>0</v>
      </c>
      <c r="S190" s="54">
        <f ca="1">IF(N$187=0,0,IF(N$188="#GSRs",ROUND(Worksheet!N224*N190,0),IF(AND(N$188="QRTs",N$187&lt;9),ROUND(Worksheet!N224/N$187*3*N190,0),ROUND(Worksheet!N224*N190/3,0))))</f>
        <v>0</v>
      </c>
      <c r="T190" s="54">
        <f ca="1">IF(O$187=0,0,IF(O$188="#GSRs",ROUND(Worksheet!O224*O190,0),IF(AND(O$188="QRTs",O$187&lt;9),ROUND(Worksheet!O224/O$187*3*O190,0),ROUND(Worksheet!O224*O190/3,0))))</f>
        <v>0</v>
      </c>
      <c r="U190" s="54">
        <f ca="1">SUM(P190:T190)</f>
        <v>0</v>
      </c>
      <c r="V190" s="203"/>
      <c r="W190" s="203"/>
      <c r="X190" s="203"/>
      <c r="Y190" s="203"/>
      <c r="Z190" s="203"/>
      <c r="AA190" s="195"/>
      <c r="AB190" s="195"/>
      <c r="AC190" s="195"/>
      <c r="AD190" s="195"/>
      <c r="AE190" s="195"/>
      <c r="AF190" s="195"/>
      <c r="AG190" s="195"/>
      <c r="AH190" s="195"/>
      <c r="AI190" s="195"/>
      <c r="AJ190" s="195"/>
      <c r="AK190" s="195"/>
      <c r="AL190" s="195"/>
      <c r="AM190" s="195"/>
      <c r="AN190" s="195"/>
      <c r="AO190" s="195"/>
      <c r="AP190" s="195"/>
      <c r="AQ190" s="195"/>
      <c r="AR190" s="195"/>
      <c r="AS190" s="195"/>
      <c r="AT190" s="195"/>
      <c r="AU190" s="195"/>
      <c r="AV190" s="195"/>
      <c r="AW190" s="195"/>
      <c r="AX190" s="195"/>
      <c r="AY190" s="195"/>
      <c r="AZ190" s="195"/>
      <c r="BA190" s="195"/>
    </row>
    <row r="191" spans="1:53" x14ac:dyDescent="0.2">
      <c r="A191" s="396"/>
      <c r="B191" s="397"/>
      <c r="C191" s="398"/>
      <c r="D191" s="396" t="s">
        <v>59</v>
      </c>
      <c r="E191" s="397"/>
      <c r="F191" s="397"/>
      <c r="G191" s="398"/>
      <c r="H191" s="172">
        <v>0.1</v>
      </c>
      <c r="I191" s="403">
        <v>33023</v>
      </c>
      <c r="J191" s="404"/>
      <c r="K191" s="173"/>
      <c r="L191" s="173"/>
      <c r="M191" s="173"/>
      <c r="N191" s="173"/>
      <c r="O191" s="173"/>
      <c r="P191" s="54">
        <f ca="1">IF(K$187=0,0,IF(K$188="#GSRs",ROUND(Worksheet!K225*K191,0),IF(AND(K$188="QRTs",K$187&lt;9),ROUND(Worksheet!K225/K$187*3*K191,0),ROUND(Worksheet!K225*K191/3,0))))</f>
        <v>0</v>
      </c>
      <c r="Q191" s="54">
        <f ca="1">IF(L$187=0,0,IF(L$188="#GSRs",ROUND(Worksheet!L225*L191,0),IF(AND(L$188="QRTs",L$187&lt;9),ROUND(Worksheet!L225/L$187*3*L191,0),ROUND(Worksheet!L225*L191/3,0))))</f>
        <v>0</v>
      </c>
      <c r="R191" s="54">
        <f ca="1">IF(M$187=0,0,IF(M$188="#GSRs",ROUND(Worksheet!M225*M191,0),IF(AND(M$188="QRTs",M$187&lt;9),ROUND(Worksheet!M225/M$187*3*M191,0),ROUND(Worksheet!M225*M191/3,0))))</f>
        <v>0</v>
      </c>
      <c r="S191" s="54">
        <f ca="1">IF(N$187=0,0,IF(N$188="#GSRs",ROUND(Worksheet!N225*N191,0),IF(AND(N$188="QRTs",N$187&lt;9),ROUND(Worksheet!N225/N$187*3*N191,0),ROUND(Worksheet!N225*N191/3,0))))</f>
        <v>0</v>
      </c>
      <c r="T191" s="54">
        <f ca="1">IF(O$187=0,0,IF(O$188="#GSRs",ROUND(Worksheet!O225*O191,0),IF(AND(O$188="QRTs",O$187&lt;9),ROUND(Worksheet!O225/O$187*3*O191,0),ROUND(Worksheet!O225*O191/3,0))))</f>
        <v>0</v>
      </c>
      <c r="U191" s="54">
        <f ca="1">SUM(P191:T191)</f>
        <v>0</v>
      </c>
      <c r="V191" s="203"/>
      <c r="W191" s="203"/>
      <c r="X191" s="203"/>
      <c r="Y191" s="203"/>
      <c r="Z191" s="203"/>
      <c r="AA191" s="195"/>
      <c r="AB191" s="195"/>
      <c r="AC191" s="195"/>
      <c r="AD191" s="195"/>
      <c r="AE191" s="195"/>
      <c r="AF191" s="195"/>
      <c r="AG191" s="195"/>
      <c r="AH191" s="195"/>
      <c r="AI191" s="195"/>
      <c r="AJ191" s="195"/>
      <c r="AK191" s="195"/>
      <c r="AL191" s="195"/>
      <c r="AM191" s="195"/>
      <c r="AN191" s="195"/>
      <c r="AO191" s="195"/>
      <c r="AP191" s="195"/>
      <c r="AQ191" s="195"/>
      <c r="AR191" s="195"/>
      <c r="AS191" s="195"/>
      <c r="AT191" s="195"/>
      <c r="AU191" s="195"/>
      <c r="AV191" s="195"/>
      <c r="AW191" s="195"/>
      <c r="AX191" s="195"/>
      <c r="AY191" s="195"/>
      <c r="AZ191" s="195"/>
      <c r="BA191" s="195"/>
    </row>
    <row r="192" spans="1:53" x14ac:dyDescent="0.2">
      <c r="A192" s="396" t="s">
        <v>241</v>
      </c>
      <c r="B192" s="397"/>
      <c r="C192" s="398"/>
      <c r="D192" s="396" t="s">
        <v>58</v>
      </c>
      <c r="E192" s="397"/>
      <c r="F192" s="397"/>
      <c r="G192" s="398"/>
      <c r="H192" s="172">
        <v>0.1</v>
      </c>
      <c r="I192" s="403">
        <v>17921</v>
      </c>
      <c r="J192" s="404"/>
      <c r="K192" s="173"/>
      <c r="L192" s="173"/>
      <c r="M192" s="173"/>
      <c r="N192" s="173"/>
      <c r="O192" s="173"/>
      <c r="P192" s="54">
        <f ca="1">IF(K$187=0,0,IF(K$188="#GSRs",ROUND(Worksheet!K226*K192,0),IF(AND(K$188="QRTs",K$187&lt;9),ROUND(Worksheet!K226/K$187*3*K192,0),ROUND(Worksheet!K226*K192/3,0))))</f>
        <v>0</v>
      </c>
      <c r="Q192" s="54">
        <f ca="1">IF(L$187=0,0,IF(L$188="#GSRs",ROUND(Worksheet!L226*L192,0),IF(AND(L$188="QRTs",L$187&lt;9),ROUND(Worksheet!L226/L$187*3*L192,0),ROUND(Worksheet!L226*L192/3,0))))</f>
        <v>0</v>
      </c>
      <c r="R192" s="54">
        <f ca="1">IF(M$187=0,0,IF(M$188="#GSRs",ROUND(Worksheet!M226*M192,0),IF(AND(M$188="QRTs",M$187&lt;9),ROUND(Worksheet!M226/M$187*3*M192,0),ROUND(Worksheet!M226*M192/3,0))))</f>
        <v>0</v>
      </c>
      <c r="S192" s="54">
        <f ca="1">IF(N$187=0,0,IF(N$188="#GSRs",ROUND(Worksheet!N226*N192,0),IF(AND(N$188="QRTs",N$187&lt;9),ROUND(Worksheet!N226/N$187*3*N192,0),ROUND(Worksheet!N226*N192/3,0))))</f>
        <v>0</v>
      </c>
      <c r="T192" s="54">
        <f ca="1">IF(O$187=0,0,IF(O$188="#GSRs",ROUND(Worksheet!O226*O192,0),IF(AND(O$188="QRTs",O$187&lt;9),ROUND(Worksheet!O226/O$187*3*O192,0),ROUND(Worksheet!O226*O192/3,0))))</f>
        <v>0</v>
      </c>
      <c r="U192" s="54">
        <f t="shared" ref="U192:U200" ca="1" si="20">SUM(P192:T192)</f>
        <v>0</v>
      </c>
      <c r="V192" s="203"/>
      <c r="W192" s="203"/>
      <c r="X192" s="203"/>
      <c r="Y192" s="203"/>
      <c r="Z192" s="203"/>
      <c r="AA192" s="195"/>
      <c r="AB192" s="195"/>
      <c r="AC192" s="195"/>
      <c r="AD192" s="195"/>
      <c r="AE192" s="195"/>
      <c r="AF192" s="195"/>
      <c r="AG192" s="195"/>
      <c r="AH192" s="195"/>
      <c r="AI192" s="195"/>
      <c r="AJ192" s="195"/>
      <c r="AK192" s="195"/>
      <c r="AL192" s="195"/>
      <c r="AM192" s="195"/>
      <c r="AN192" s="195"/>
      <c r="AO192" s="195"/>
      <c r="AP192" s="195"/>
      <c r="AQ192" s="195"/>
      <c r="AR192" s="195"/>
      <c r="AS192" s="195"/>
      <c r="AT192" s="195"/>
      <c r="AU192" s="195"/>
      <c r="AV192" s="195"/>
      <c r="AW192" s="195"/>
      <c r="AX192" s="195"/>
      <c r="AY192" s="195"/>
      <c r="AZ192" s="195"/>
      <c r="BA192" s="195"/>
    </row>
    <row r="193" spans="1:53" x14ac:dyDescent="0.2">
      <c r="A193" s="396"/>
      <c r="B193" s="397"/>
      <c r="C193" s="398"/>
      <c r="D193" s="396" t="s">
        <v>58</v>
      </c>
      <c r="E193" s="397"/>
      <c r="F193" s="397"/>
      <c r="G193" s="398"/>
      <c r="H193" s="172">
        <v>0.1</v>
      </c>
      <c r="I193" s="403">
        <v>17921</v>
      </c>
      <c r="J193" s="404"/>
      <c r="K193" s="173"/>
      <c r="L193" s="173"/>
      <c r="M193" s="173"/>
      <c r="N193" s="173"/>
      <c r="O193" s="173"/>
      <c r="P193" s="54">
        <f ca="1">IF(K$187=0,0,IF(K$188="#GSRs",ROUND(Worksheet!K227*K193,0),IF(AND(K$188="QRTs",K$187&lt;9),ROUND(Worksheet!K227/K$187*3*K193,0),ROUND(Worksheet!K227*K193/3,0))))</f>
        <v>0</v>
      </c>
      <c r="Q193" s="54">
        <f ca="1">IF(L$187=0,0,IF(L$188="#GSRs",ROUND(Worksheet!L227*L193,0),IF(AND(L$188="QRTs",L$187&lt;9),ROUND(Worksheet!L227/L$187*3*L193,0),ROUND(Worksheet!L227*L193/3,0))))</f>
        <v>0</v>
      </c>
      <c r="R193" s="54">
        <f ca="1">IF(M$187=0,0,IF(M$188="#GSRs",ROUND(Worksheet!M227*M193,0),IF(AND(M$188="QRTs",M$187&lt;9),ROUND(Worksheet!M227/M$187*3*M193,0),ROUND(Worksheet!M227*M193/3,0))))</f>
        <v>0</v>
      </c>
      <c r="S193" s="54">
        <f ca="1">IF(N$187=0,0,IF(N$188="#GSRs",ROUND(Worksheet!N227*N193,0),IF(AND(N$188="QRTs",N$187&lt;9),ROUND(Worksheet!N227/N$187*3*N193,0),ROUND(Worksheet!N227*N193/3,0))))</f>
        <v>0</v>
      </c>
      <c r="T193" s="54">
        <f ca="1">IF(O$187=0,0,IF(O$188="#GSRs",ROUND(Worksheet!O227*O193,0),IF(AND(O$188="QRTs",O$187&lt;9),ROUND(Worksheet!O227/O$187*3*O193,0),ROUND(Worksheet!O227*O193/3,0))))</f>
        <v>0</v>
      </c>
      <c r="U193" s="54">
        <f t="shared" ca="1" si="20"/>
        <v>0</v>
      </c>
      <c r="V193" s="203"/>
      <c r="W193" s="203"/>
      <c r="X193" s="203"/>
      <c r="Y193" s="203"/>
      <c r="Z193" s="203"/>
      <c r="AA193" s="195"/>
      <c r="AB193" s="195"/>
      <c r="AC193" s="195"/>
      <c r="AD193" s="195"/>
      <c r="AE193" s="195"/>
      <c r="AF193" s="195"/>
      <c r="AG193" s="195"/>
      <c r="AH193" s="195"/>
      <c r="AI193" s="195"/>
      <c r="AJ193" s="195"/>
      <c r="AK193" s="195"/>
      <c r="AL193" s="195"/>
      <c r="AM193" s="195"/>
      <c r="AN193" s="195"/>
      <c r="AO193" s="195"/>
      <c r="AP193" s="195"/>
      <c r="AQ193" s="195"/>
      <c r="AR193" s="195"/>
      <c r="AS193" s="195"/>
      <c r="AT193" s="195"/>
      <c r="AU193" s="195"/>
      <c r="AV193" s="195"/>
      <c r="AW193" s="195"/>
      <c r="AX193" s="195"/>
      <c r="AY193" s="195"/>
      <c r="AZ193" s="195"/>
      <c r="BA193" s="195"/>
    </row>
    <row r="194" spans="1:53" hidden="1" x14ac:dyDescent="0.2">
      <c r="A194" s="396"/>
      <c r="B194" s="397"/>
      <c r="C194" s="398"/>
      <c r="D194" s="396" t="s">
        <v>58</v>
      </c>
      <c r="E194" s="397"/>
      <c r="F194" s="397"/>
      <c r="G194" s="398"/>
      <c r="H194" s="172">
        <v>0.1</v>
      </c>
      <c r="I194" s="403">
        <v>17921</v>
      </c>
      <c r="J194" s="404"/>
      <c r="K194" s="173"/>
      <c r="L194" s="173"/>
      <c r="M194" s="173"/>
      <c r="N194" s="173"/>
      <c r="O194" s="173"/>
      <c r="P194" s="54">
        <f ca="1">IF(K$187=0,0,IF(K$188="#GSRs",ROUND(Worksheet!K228*K194,0),IF(AND(K$188="QRTs",K$187&lt;9),ROUND(Worksheet!K228/K$187*3*K194,0),ROUND(Worksheet!K228*K194/3,0))))</f>
        <v>0</v>
      </c>
      <c r="Q194" s="54">
        <f ca="1">IF(L$187=0,0,IF(L$188="#GSRs",ROUND(Worksheet!L228*L194,0),IF(AND(L$188="QRTs",L$187&lt;9),ROUND(Worksheet!L228/L$187*3*L194,0),ROUND(Worksheet!L228*L194/3,0))))</f>
        <v>0</v>
      </c>
      <c r="R194" s="54">
        <f ca="1">IF(M$187=0,0,IF(M$188="#GSRs",ROUND(Worksheet!M228*M194,0),IF(AND(M$188="QRTs",M$187&lt;9),ROUND(Worksheet!M228/M$187*3*M194,0),ROUND(Worksheet!M228*M194/3,0))))</f>
        <v>0</v>
      </c>
      <c r="S194" s="54">
        <f ca="1">IF(N$187=0,0,IF(N$188="#GSRs",ROUND(Worksheet!N228*N194,0),IF(AND(N$188="QRTs",N$187&lt;9),ROUND(Worksheet!N228/N$187*3*N194,0),ROUND(Worksheet!N228*N194/3,0))))</f>
        <v>0</v>
      </c>
      <c r="T194" s="54">
        <f ca="1">IF(O$187=0,0,IF(O$188="#GSRs",ROUND(Worksheet!O228*O194,0),IF(AND(O$188="QRTs",O$187&lt;9),ROUND(Worksheet!O228/O$187*3*O194,0),ROUND(Worksheet!O228*O194/3,0))))</f>
        <v>0</v>
      </c>
      <c r="U194" s="54">
        <f t="shared" ca="1" si="20"/>
        <v>0</v>
      </c>
      <c r="V194" s="203"/>
      <c r="W194" s="203"/>
      <c r="X194" s="203"/>
      <c r="Y194" s="203"/>
      <c r="Z194" s="203"/>
      <c r="AA194" s="195"/>
      <c r="AB194" s="195"/>
      <c r="AC194" s="195"/>
      <c r="AD194" s="195"/>
      <c r="AE194" s="195"/>
      <c r="AF194" s="195"/>
      <c r="AG194" s="195"/>
      <c r="AH194" s="195"/>
      <c r="AI194" s="195"/>
      <c r="AJ194" s="195"/>
      <c r="AK194" s="195"/>
      <c r="AL194" s="195"/>
      <c r="AM194" s="195"/>
      <c r="AN194" s="195"/>
      <c r="AO194" s="195"/>
      <c r="AP194" s="195"/>
      <c r="AQ194" s="195"/>
      <c r="AR194" s="195"/>
      <c r="AS194" s="195"/>
      <c r="AT194" s="195"/>
      <c r="AU194" s="195"/>
      <c r="AV194" s="195"/>
      <c r="AW194" s="195"/>
      <c r="AX194" s="195"/>
      <c r="AY194" s="195"/>
      <c r="AZ194" s="195"/>
      <c r="BA194" s="195"/>
    </row>
    <row r="195" spans="1:53" hidden="1" x14ac:dyDescent="0.2">
      <c r="A195" s="396"/>
      <c r="B195" s="397"/>
      <c r="C195" s="398"/>
      <c r="D195" s="396" t="s">
        <v>58</v>
      </c>
      <c r="E195" s="397"/>
      <c r="F195" s="397"/>
      <c r="G195" s="398"/>
      <c r="H195" s="172">
        <v>0.1</v>
      </c>
      <c r="I195" s="403">
        <v>17921</v>
      </c>
      <c r="J195" s="404"/>
      <c r="K195" s="173"/>
      <c r="L195" s="173"/>
      <c r="M195" s="173"/>
      <c r="N195" s="173"/>
      <c r="O195" s="173"/>
      <c r="P195" s="54">
        <f ca="1">IF(K$187=0,0,IF(K$188="#GSRs",ROUND(Worksheet!K229*K195,0),IF(AND(K$188="QRTs",K$187&lt;9),ROUND(Worksheet!K229/K$187*3*K195,0),ROUND(Worksheet!K229*K195/3,0))))</f>
        <v>0</v>
      </c>
      <c r="Q195" s="54">
        <f ca="1">IF(L$187=0,0,IF(L$188="#GSRs",ROUND(Worksheet!L229*L195,0),IF(AND(L$188="QRTs",L$187&lt;9),ROUND(Worksheet!L229/L$187*3*L195,0),ROUND(Worksheet!L229*L195/3,0))))</f>
        <v>0</v>
      </c>
      <c r="R195" s="54">
        <f ca="1">IF(M$187=0,0,IF(M$188="#GSRs",ROUND(Worksheet!M229*M195,0),IF(AND(M$188="QRTs",M$187&lt;9),ROUND(Worksheet!M229/M$187*3*M195,0),ROUND(Worksheet!M229*M195/3,0))))</f>
        <v>0</v>
      </c>
      <c r="S195" s="54">
        <f ca="1">IF(N$187=0,0,IF(N$188="#GSRs",ROUND(Worksheet!N229*N195,0),IF(AND(N$188="QRTs",N$187&lt;9),ROUND(Worksheet!N229/N$187*3*N195,0),ROUND(Worksheet!N229*N195/3,0))))</f>
        <v>0</v>
      </c>
      <c r="T195" s="54">
        <f ca="1">IF(O$187=0,0,IF(O$188="#GSRs",ROUND(Worksheet!O229*O195,0),IF(AND(O$188="QRTs",O$187&lt;9),ROUND(Worksheet!O229/O$187*3*O195,0),ROUND(Worksheet!O229*O195/3,0))))</f>
        <v>0</v>
      </c>
      <c r="U195" s="54">
        <f t="shared" ca="1" si="20"/>
        <v>0</v>
      </c>
      <c r="V195" s="203"/>
      <c r="W195" s="203"/>
      <c r="X195" s="203"/>
      <c r="Y195" s="203"/>
      <c r="Z195" s="203"/>
      <c r="AA195" s="195"/>
      <c r="AB195" s="195"/>
      <c r="AC195" s="195"/>
      <c r="AD195" s="195"/>
      <c r="AE195" s="195"/>
      <c r="AF195" s="195"/>
      <c r="AG195" s="195"/>
      <c r="AH195" s="195"/>
      <c r="AI195" s="195"/>
      <c r="AJ195" s="195"/>
      <c r="AK195" s="195"/>
      <c r="AL195" s="195"/>
      <c r="AM195" s="195"/>
      <c r="AN195" s="195"/>
      <c r="AO195" s="195"/>
      <c r="AP195" s="195"/>
      <c r="AQ195" s="195"/>
      <c r="AR195" s="195"/>
      <c r="AS195" s="195"/>
      <c r="AT195" s="195"/>
      <c r="AU195" s="195"/>
      <c r="AV195" s="195"/>
      <c r="AW195" s="195"/>
      <c r="AX195" s="195"/>
      <c r="AY195" s="195"/>
      <c r="AZ195" s="195"/>
      <c r="BA195" s="195"/>
    </row>
    <row r="196" spans="1:53" ht="10.9" hidden="1" customHeight="1" x14ac:dyDescent="0.2">
      <c r="A196" s="396"/>
      <c r="B196" s="397"/>
      <c r="C196" s="398"/>
      <c r="D196" s="396" t="s">
        <v>58</v>
      </c>
      <c r="E196" s="397"/>
      <c r="F196" s="397"/>
      <c r="G196" s="398"/>
      <c r="H196" s="172">
        <v>0.1</v>
      </c>
      <c r="I196" s="403">
        <v>17921</v>
      </c>
      <c r="J196" s="404"/>
      <c r="K196" s="173"/>
      <c r="L196" s="173"/>
      <c r="M196" s="173"/>
      <c r="N196" s="173"/>
      <c r="O196" s="173"/>
      <c r="P196" s="54">
        <f ca="1">IF(K$187=0,0,IF(K$188="#GSRs",ROUND(Worksheet!K230*K196,0),IF(AND(K$188="QRTs",K$187&lt;9),ROUND(Worksheet!K230/K$187*3*K196,0),ROUND(Worksheet!K230*K196/3,0))))</f>
        <v>0</v>
      </c>
      <c r="Q196" s="54">
        <f ca="1">IF(L$187=0,0,IF(L$188="#GSRs",ROUND(Worksheet!L230*L196,0),IF(AND(L$188="QRTs",L$187&lt;9),ROUND(Worksheet!L230/L$187*3*L196,0),ROUND(Worksheet!L230*L196/3,0))))</f>
        <v>0</v>
      </c>
      <c r="R196" s="54">
        <f ca="1">IF(M$187=0,0,IF(M$188="#GSRs",ROUND(Worksheet!M230*M196,0),IF(AND(M$188="QRTs",M$187&lt;9),ROUND(Worksheet!M230/M$187*3*M196,0),ROUND(Worksheet!M230*M196/3,0))))</f>
        <v>0</v>
      </c>
      <c r="S196" s="54">
        <f ca="1">IF(N$187=0,0,IF(N$188="#GSRs",ROUND(Worksheet!N230*N196,0),IF(AND(N$188="QRTs",N$187&lt;9),ROUND(Worksheet!N230/N$187*3*N196,0),ROUND(Worksheet!N230*N196/3,0))))</f>
        <v>0</v>
      </c>
      <c r="T196" s="54">
        <f ca="1">IF(O$187=0,0,IF(O$188="#GSRs",ROUND(Worksheet!O230*O196,0),IF(AND(O$188="QRTs",O$187&lt;9),ROUND(Worksheet!O230/O$187*3*O196,0),ROUND(Worksheet!O230*O196/3,0))))</f>
        <v>0</v>
      </c>
      <c r="U196" s="54">
        <f t="shared" ca="1" si="20"/>
        <v>0</v>
      </c>
      <c r="V196" s="203"/>
      <c r="W196" s="203"/>
      <c r="X196" s="203"/>
      <c r="Y196" s="203"/>
      <c r="Z196" s="203"/>
      <c r="AA196" s="195"/>
      <c r="AB196" s="195"/>
      <c r="AC196" s="195"/>
      <c r="AD196" s="195"/>
      <c r="AE196" s="195"/>
      <c r="AF196" s="195"/>
      <c r="AG196" s="195"/>
      <c r="AH196" s="195"/>
      <c r="AI196" s="195"/>
      <c r="AJ196" s="195"/>
      <c r="AK196" s="195"/>
      <c r="AL196" s="195"/>
      <c r="AM196" s="195"/>
      <c r="AN196" s="195"/>
      <c r="AO196" s="195"/>
      <c r="AP196" s="195"/>
      <c r="AQ196" s="195"/>
      <c r="AR196" s="195"/>
      <c r="AS196" s="195"/>
      <c r="AT196" s="195"/>
      <c r="AU196" s="195"/>
      <c r="AV196" s="195"/>
      <c r="AW196" s="195"/>
      <c r="AX196" s="195"/>
      <c r="AY196" s="195"/>
      <c r="AZ196" s="195"/>
      <c r="BA196" s="195"/>
    </row>
    <row r="197" spans="1:53" hidden="1" x14ac:dyDescent="0.2">
      <c r="A197" s="396"/>
      <c r="B197" s="397"/>
      <c r="C197" s="398"/>
      <c r="D197" s="396" t="s">
        <v>58</v>
      </c>
      <c r="E197" s="397"/>
      <c r="F197" s="397"/>
      <c r="G197" s="398"/>
      <c r="H197" s="172">
        <v>0.1</v>
      </c>
      <c r="I197" s="403">
        <v>17921</v>
      </c>
      <c r="J197" s="404"/>
      <c r="K197" s="173"/>
      <c r="L197" s="173"/>
      <c r="M197" s="173"/>
      <c r="N197" s="173"/>
      <c r="O197" s="173"/>
      <c r="P197" s="54">
        <f ca="1">IF(K$187=0,0,IF(K$188="#GSRs",ROUND(Worksheet!K231*K197,0),IF(AND(K$188="QRTs",K$187&lt;9),ROUND(Worksheet!K231/K$187*3*K197,0),ROUND(Worksheet!K231*K197/3,0))))</f>
        <v>0</v>
      </c>
      <c r="Q197" s="54">
        <f ca="1">IF(L$187=0,0,IF(L$188="#GSRs",ROUND(Worksheet!L231*L197,0),IF(AND(L$188="QRTs",L$187&lt;9),ROUND(Worksheet!L231/L$187*3*L197,0),ROUND(Worksheet!L231*L197/3,0))))</f>
        <v>0</v>
      </c>
      <c r="R197" s="54">
        <f ca="1">IF(M$187=0,0,IF(M$188="#GSRs",ROUND(Worksheet!M231*M197,0),IF(AND(M$188="QRTs",M$187&lt;9),ROUND(Worksheet!M231/M$187*3*M197,0),ROUND(Worksheet!M231*M197/3,0))))</f>
        <v>0</v>
      </c>
      <c r="S197" s="54">
        <f ca="1">IF(N$187=0,0,IF(N$188="#GSRs",ROUND(Worksheet!N231*N197,0),IF(AND(N$188="QRTs",N$187&lt;9),ROUND(Worksheet!N231/N$187*3*N197,0),ROUND(Worksheet!N231*N197/3,0))))</f>
        <v>0</v>
      </c>
      <c r="T197" s="54">
        <f ca="1">IF(O$187=0,0,IF(O$188="#GSRs",ROUND(Worksheet!O231*O197,0),IF(AND(O$188="QRTs",O$187&lt;9),ROUND(Worksheet!O231/O$187*3*O197,0),ROUND(Worksheet!O231*O197/3,0))))</f>
        <v>0</v>
      </c>
      <c r="U197" s="54">
        <f t="shared" ca="1" si="20"/>
        <v>0</v>
      </c>
      <c r="V197" s="203"/>
      <c r="W197" s="203"/>
      <c r="X197" s="203"/>
      <c r="Y197" s="203"/>
      <c r="Z197" s="203"/>
      <c r="AA197" s="195"/>
      <c r="AB197" s="195"/>
      <c r="AC197" s="195"/>
      <c r="AD197" s="195"/>
      <c r="AE197" s="195"/>
      <c r="AF197" s="195"/>
      <c r="AG197" s="195"/>
      <c r="AH197" s="195"/>
      <c r="AI197" s="195"/>
      <c r="AJ197" s="195"/>
      <c r="AK197" s="195"/>
      <c r="AL197" s="195"/>
      <c r="AM197" s="195"/>
      <c r="AN197" s="195"/>
      <c r="AO197" s="195"/>
      <c r="AP197" s="195"/>
      <c r="AQ197" s="195"/>
      <c r="AR197" s="195"/>
      <c r="AS197" s="195"/>
      <c r="AT197" s="195"/>
      <c r="AU197" s="195"/>
      <c r="AV197" s="195"/>
      <c r="AW197" s="195"/>
      <c r="AX197" s="195"/>
      <c r="AY197" s="195"/>
      <c r="AZ197" s="195"/>
      <c r="BA197" s="195"/>
    </row>
    <row r="198" spans="1:53" hidden="1" x14ac:dyDescent="0.2">
      <c r="A198" s="396"/>
      <c r="B198" s="397"/>
      <c r="C198" s="398"/>
      <c r="D198" s="396" t="s">
        <v>58</v>
      </c>
      <c r="E198" s="397"/>
      <c r="F198" s="397"/>
      <c r="G198" s="398"/>
      <c r="H198" s="172">
        <v>0.1</v>
      </c>
      <c r="I198" s="403">
        <v>17921</v>
      </c>
      <c r="J198" s="404"/>
      <c r="K198" s="173"/>
      <c r="L198" s="173"/>
      <c r="M198" s="173"/>
      <c r="N198" s="173"/>
      <c r="O198" s="173"/>
      <c r="P198" s="54">
        <f ca="1">IF(K$187=0,0,IF(K$188="#GSRs",ROUND(Worksheet!K232*K198,0),IF(AND(K$188="QRTs",K$187&lt;9),ROUND(Worksheet!K232/K$187*3*K198,0),ROUND(Worksheet!K232*K198/3,0))))</f>
        <v>0</v>
      </c>
      <c r="Q198" s="54">
        <f ca="1">IF(L$187=0,0,IF(L$188="#GSRs",ROUND(Worksheet!L232*L198,0),IF(AND(L$188="QRTs",L$187&lt;9),ROUND(Worksheet!L232/L$187*3*L198,0),ROUND(Worksheet!L232*L198/3,0))))</f>
        <v>0</v>
      </c>
      <c r="R198" s="54">
        <f ca="1">IF(M$187=0,0,IF(M$188="#GSRs",ROUND(Worksheet!M232*M198,0),IF(AND(M$188="QRTs",M$187&lt;9),ROUND(Worksheet!M232/M$187*3*M198,0),ROUND(Worksheet!M232*M198/3,0))))</f>
        <v>0</v>
      </c>
      <c r="S198" s="54">
        <f ca="1">IF(N$187=0,0,IF(N$188="#GSRs",ROUND(Worksheet!N232*N198,0),IF(AND(N$188="QRTs",N$187&lt;9),ROUND(Worksheet!N232/N$187*3*N198,0),ROUND(Worksheet!N232*N198/3,0))))</f>
        <v>0</v>
      </c>
      <c r="T198" s="54">
        <f ca="1">IF(O$187=0,0,IF(O$188="#GSRs",ROUND(Worksheet!O232*O198,0),IF(AND(O$188="QRTs",O$187&lt;9),ROUND(Worksheet!O232/O$187*3*O198,0),ROUND(Worksheet!O232*O198/3,0))))</f>
        <v>0</v>
      </c>
      <c r="U198" s="54">
        <f t="shared" ca="1" si="20"/>
        <v>0</v>
      </c>
      <c r="V198" s="203"/>
      <c r="W198" s="203"/>
      <c r="X198" s="203"/>
      <c r="Y198" s="203"/>
      <c r="Z198" s="203"/>
      <c r="AA198" s="195"/>
      <c r="AB198" s="195"/>
      <c r="AC198" s="195"/>
      <c r="AD198" s="195"/>
      <c r="AE198" s="195"/>
      <c r="AF198" s="195"/>
      <c r="AG198" s="195"/>
      <c r="AH198" s="195"/>
      <c r="AI198" s="195"/>
      <c r="AJ198" s="195"/>
      <c r="AK198" s="195"/>
      <c r="AL198" s="195"/>
      <c r="AM198" s="195"/>
      <c r="AN198" s="195"/>
      <c r="AO198" s="195"/>
      <c r="AP198" s="195"/>
      <c r="AQ198" s="195"/>
      <c r="AR198" s="195"/>
      <c r="AS198" s="195"/>
      <c r="AT198" s="195"/>
      <c r="AU198" s="195"/>
      <c r="AV198" s="195"/>
      <c r="AW198" s="195"/>
      <c r="AX198" s="195"/>
      <c r="AY198" s="195"/>
      <c r="AZ198" s="195"/>
      <c r="BA198" s="195"/>
    </row>
    <row r="199" spans="1:53" hidden="1" x14ac:dyDescent="0.2">
      <c r="A199" s="396"/>
      <c r="B199" s="397"/>
      <c r="C199" s="398"/>
      <c r="D199" s="396" t="s">
        <v>58</v>
      </c>
      <c r="E199" s="397"/>
      <c r="F199" s="397"/>
      <c r="G199" s="398"/>
      <c r="H199" s="172">
        <v>0.1</v>
      </c>
      <c r="I199" s="403">
        <v>17921</v>
      </c>
      <c r="J199" s="404"/>
      <c r="K199" s="173"/>
      <c r="L199" s="173"/>
      <c r="M199" s="173"/>
      <c r="N199" s="173"/>
      <c r="O199" s="173"/>
      <c r="P199" s="54">
        <f ca="1">IF(K$187=0,0,IF(K$188="#GSRs",ROUND(Worksheet!K233*K199,0),IF(AND(K$188="QRTs",K$187&lt;9),ROUND(Worksheet!K233/K$187*3*K199,0),ROUND(Worksheet!K233*K199/3,0))))</f>
        <v>0</v>
      </c>
      <c r="Q199" s="54">
        <f ca="1">IF(L$187=0,0,IF(L$188="#GSRs",ROUND(Worksheet!L233*L199,0),IF(AND(L$188="QRTs",L$187&lt;9),ROUND(Worksheet!L233/L$187*3*L199,0),ROUND(Worksheet!L233*L199/3,0))))</f>
        <v>0</v>
      </c>
      <c r="R199" s="54">
        <f ca="1">IF(M$187=0,0,IF(M$188="#GSRs",ROUND(Worksheet!M233*M199,0),IF(AND(M$188="QRTs",M$187&lt;9),ROUND(Worksheet!M233/M$187*3*M199,0),ROUND(Worksheet!M233*M199/3,0))))</f>
        <v>0</v>
      </c>
      <c r="S199" s="54">
        <f ca="1">IF(N$187=0,0,IF(N$188="#GSRs",ROUND(Worksheet!N233*N199,0),IF(AND(N$188="QRTs",N$187&lt;9),ROUND(Worksheet!N233/N$187*3*N199,0),ROUND(Worksheet!N233*N199/3,0))))</f>
        <v>0</v>
      </c>
      <c r="T199" s="54">
        <f ca="1">IF(O$187=0,0,IF(O$188="#GSRs",ROUND(Worksheet!O233*O199,0),IF(AND(O$188="QRTs",O$187&lt;9),ROUND(Worksheet!O233/O$187*3*O199,0),ROUND(Worksheet!O233*O199/3,0))))</f>
        <v>0</v>
      </c>
      <c r="U199" s="54">
        <f t="shared" ca="1" si="20"/>
        <v>0</v>
      </c>
      <c r="V199" s="203"/>
      <c r="W199" s="203"/>
      <c r="X199" s="203"/>
      <c r="Y199" s="203"/>
      <c r="Z199" s="203"/>
      <c r="AA199" s="195"/>
      <c r="AB199" s="195"/>
      <c r="AC199" s="195"/>
      <c r="AD199" s="195"/>
      <c r="AE199" s="195"/>
      <c r="AF199" s="195"/>
      <c r="AG199" s="195"/>
      <c r="AH199" s="195"/>
      <c r="AI199" s="195"/>
      <c r="AJ199" s="195"/>
      <c r="AK199" s="195"/>
      <c r="AL199" s="195"/>
      <c r="AM199" s="195"/>
      <c r="AN199" s="195"/>
      <c r="AO199" s="195"/>
      <c r="AP199" s="195"/>
      <c r="AQ199" s="195"/>
      <c r="AR199" s="195"/>
      <c r="AS199" s="195"/>
      <c r="AT199" s="195"/>
      <c r="AU199" s="195"/>
      <c r="AV199" s="195"/>
      <c r="AW199" s="195"/>
      <c r="AX199" s="195"/>
      <c r="AY199" s="195"/>
      <c r="AZ199" s="195"/>
      <c r="BA199" s="195"/>
    </row>
    <row r="200" spans="1:53" hidden="1" x14ac:dyDescent="0.2">
      <c r="A200" s="396"/>
      <c r="B200" s="397"/>
      <c r="C200" s="398"/>
      <c r="D200" s="396" t="s">
        <v>58</v>
      </c>
      <c r="E200" s="397"/>
      <c r="F200" s="397"/>
      <c r="G200" s="398"/>
      <c r="H200" s="172">
        <v>0.1</v>
      </c>
      <c r="I200" s="403">
        <v>17921</v>
      </c>
      <c r="J200" s="404"/>
      <c r="K200" s="173"/>
      <c r="L200" s="173"/>
      <c r="M200" s="173"/>
      <c r="N200" s="173"/>
      <c r="O200" s="173"/>
      <c r="P200" s="54">
        <f ca="1">IF(K$187=0,0,IF(K$188="#GSRs",ROUND(Worksheet!K234*K200,0),IF(AND(K$188="QRTs",K$187&lt;9),ROUND(Worksheet!K234/K$187*3*K200,0),ROUND(Worksheet!K234*K200/3,0))))</f>
        <v>0</v>
      </c>
      <c r="Q200" s="54">
        <f ca="1">IF(L$187=0,0,IF(L$188="#GSRs",ROUND(Worksheet!L234*L200,0),IF(AND(L$188="QRTs",L$187&lt;9),ROUND(Worksheet!L234/L$187*3*L200,0),ROUND(Worksheet!L234*L200/3,0))))</f>
        <v>0</v>
      </c>
      <c r="R200" s="54">
        <f ca="1">IF(M$187=0,0,IF(M$188="#GSRs",ROUND(Worksheet!M234*M200,0),IF(AND(M$188="QRTs",M$187&lt;9),ROUND(Worksheet!M234/M$187*3*M200,0),ROUND(Worksheet!M234*M200/3,0))))</f>
        <v>0</v>
      </c>
      <c r="S200" s="54">
        <f ca="1">IF(N$187=0,0,IF(N$188="#GSRs",ROUND(Worksheet!N234*N200,0),IF(AND(N$188="QRTs",N$187&lt;9),ROUND(Worksheet!N234/N$187*3*N200,0),ROUND(Worksheet!N234*N200/3,0))))</f>
        <v>0</v>
      </c>
      <c r="T200" s="54">
        <f ca="1">IF(O$187=0,0,IF(O$188="#GSRs",ROUND(Worksheet!O234*O200,0),IF(AND(O$188="QRTs",O$187&lt;9),ROUND(Worksheet!O234/O$187*3*O200,0),ROUND(Worksheet!O234*O200/3,0))))</f>
        <v>0</v>
      </c>
      <c r="U200" s="54">
        <f t="shared" ca="1" si="20"/>
        <v>0</v>
      </c>
      <c r="V200" s="203"/>
      <c r="W200" s="203"/>
      <c r="X200" s="203"/>
      <c r="Y200" s="203"/>
      <c r="Z200" s="203"/>
      <c r="AA200" s="195"/>
      <c r="AB200" s="195"/>
      <c r="AC200" s="195"/>
      <c r="AD200" s="195"/>
      <c r="AE200" s="195"/>
      <c r="AF200" s="195"/>
      <c r="AG200" s="195"/>
      <c r="AH200" s="195"/>
      <c r="AI200" s="195"/>
      <c r="AJ200" s="195"/>
      <c r="AK200" s="195"/>
      <c r="AL200" s="195"/>
      <c r="AM200" s="195"/>
      <c r="AN200" s="195"/>
      <c r="AO200" s="195"/>
      <c r="AP200" s="195"/>
      <c r="AQ200" s="195"/>
      <c r="AR200" s="195"/>
      <c r="AS200" s="195"/>
      <c r="AT200" s="195"/>
      <c r="AU200" s="195"/>
      <c r="AV200" s="195"/>
      <c r="AW200" s="195"/>
      <c r="AX200" s="195"/>
      <c r="AY200" s="195"/>
      <c r="AZ200" s="195"/>
      <c r="BA200" s="195"/>
    </row>
    <row r="201" spans="1:53" x14ac:dyDescent="0.2">
      <c r="A201" s="429" t="s">
        <v>211</v>
      </c>
      <c r="B201" s="430"/>
      <c r="C201" s="430"/>
      <c r="D201" s="430"/>
      <c r="E201" s="430"/>
      <c r="F201" s="430"/>
      <c r="G201" s="430"/>
      <c r="H201" s="430"/>
      <c r="I201" s="430"/>
      <c r="J201" s="431"/>
      <c r="K201" s="432" t="s">
        <v>196</v>
      </c>
      <c r="L201" s="433"/>
      <c r="M201" s="433"/>
      <c r="N201" s="433"/>
      <c r="O201" s="434"/>
      <c r="P201" s="177"/>
      <c r="Q201" s="177"/>
      <c r="R201" s="177"/>
      <c r="S201" s="177"/>
      <c r="T201" s="177"/>
      <c r="U201" s="75"/>
      <c r="V201" s="203"/>
      <c r="W201" s="195"/>
      <c r="X201" s="195"/>
      <c r="Y201" s="195"/>
      <c r="Z201" s="195"/>
      <c r="AA201" s="195"/>
      <c r="AB201" s="195"/>
      <c r="AC201" s="195"/>
      <c r="AD201" s="195"/>
      <c r="AE201" s="195"/>
      <c r="AF201" s="195"/>
      <c r="AG201" s="195"/>
      <c r="AH201" s="195"/>
      <c r="AI201" s="195"/>
      <c r="AJ201" s="195"/>
      <c r="AK201" s="195"/>
      <c r="AL201" s="195"/>
      <c r="AM201" s="195"/>
      <c r="AN201" s="195"/>
      <c r="AO201" s="195"/>
      <c r="AP201" s="195"/>
      <c r="AQ201" s="195"/>
      <c r="AR201" s="195"/>
      <c r="AS201" s="195"/>
      <c r="AT201" s="195"/>
      <c r="AU201" s="195"/>
      <c r="AV201" s="195"/>
      <c r="AW201" s="195"/>
      <c r="AX201" s="195"/>
      <c r="AY201" s="195"/>
      <c r="AZ201" s="195"/>
      <c r="BA201" s="195"/>
    </row>
    <row r="202" spans="1:53" x14ac:dyDescent="0.2">
      <c r="A202" s="435" t="s">
        <v>195</v>
      </c>
      <c r="B202" s="436"/>
      <c r="C202" s="437"/>
      <c r="D202" s="236" t="s">
        <v>213</v>
      </c>
      <c r="E202" s="256"/>
      <c r="F202" s="256"/>
      <c r="G202" s="235"/>
      <c r="H202" s="174" t="s">
        <v>90</v>
      </c>
      <c r="I202" s="438" t="s">
        <v>200</v>
      </c>
      <c r="J202" s="439"/>
      <c r="K202" s="174" t="s">
        <v>133</v>
      </c>
      <c r="L202" s="174" t="s">
        <v>134</v>
      </c>
      <c r="M202" s="174" t="s">
        <v>135</v>
      </c>
      <c r="N202" s="174" t="s">
        <v>136</v>
      </c>
      <c r="O202" s="174" t="s">
        <v>137</v>
      </c>
      <c r="P202" s="230">
        <f t="shared" ref="P202:U202" si="21" xml:space="preserve"> SUM(P203:P215)</f>
        <v>0</v>
      </c>
      <c r="Q202" s="230">
        <f t="shared" si="21"/>
        <v>0</v>
      </c>
      <c r="R202" s="230">
        <f t="shared" si="21"/>
        <v>0</v>
      </c>
      <c r="S202" s="230">
        <f t="shared" si="21"/>
        <v>0</v>
      </c>
      <c r="T202" s="230">
        <f t="shared" si="21"/>
        <v>0</v>
      </c>
      <c r="U202" s="230">
        <f t="shared" si="21"/>
        <v>0</v>
      </c>
      <c r="V202" s="195"/>
      <c r="W202" s="195"/>
      <c r="X202" s="195"/>
      <c r="Y202" s="195"/>
      <c r="Z202" s="195"/>
      <c r="AA202" s="195"/>
      <c r="AB202" s="195"/>
      <c r="AC202" s="195"/>
      <c r="AD202" s="195"/>
      <c r="AE202" s="195"/>
      <c r="AF202" s="195"/>
      <c r="AG202" s="195"/>
      <c r="AH202" s="195"/>
      <c r="AI202" s="195"/>
      <c r="AJ202" s="195"/>
      <c r="AK202" s="195"/>
      <c r="AL202" s="195"/>
      <c r="AM202" s="195"/>
      <c r="AN202" s="195"/>
      <c r="AO202" s="195"/>
      <c r="AP202" s="195"/>
      <c r="AQ202" s="195"/>
      <c r="AR202" s="195"/>
      <c r="AS202" s="195"/>
      <c r="AT202" s="195"/>
      <c r="AU202" s="195"/>
      <c r="AV202" s="195"/>
      <c r="AW202" s="195"/>
      <c r="AX202" s="195"/>
      <c r="AY202" s="195"/>
      <c r="AZ202" s="195"/>
      <c r="BA202" s="195"/>
    </row>
    <row r="203" spans="1:53" x14ac:dyDescent="0.2">
      <c r="A203" s="396"/>
      <c r="B203" s="397"/>
      <c r="C203" s="398"/>
      <c r="D203" s="393" t="s">
        <v>194</v>
      </c>
      <c r="E203" s="394"/>
      <c r="F203" s="394"/>
      <c r="G203" s="395"/>
      <c r="H203" s="159" t="s">
        <v>192</v>
      </c>
      <c r="I203" s="366">
        <f>IF(AND($D203=Worksheet!$A$467,Request!$H203="UC"),Worksheet!$B$467,IF(AND($D203=Worksheet!$A$467,Request!$H203="Non-UC"),Worksheet!$C$467,IF(AND(Request!$D203=Worksheet!$A$468,Request!$H203="UC"),Worksheet!$B$468,IF(AND(Request!$D203=Worksheet!$A$468,Request!$H203=Worksheet!$C$466),Worksheet!$C$468,IF(AND(Request!$D203=Worksheet!$A$469,Request!$H203=Worksheet!$B$466),Worksheet!$B$469,IF(AND(Request!$D203=Worksheet!$A$469,Request!$H203=Worksheet!$C$466),Worksheet!$C$469,))))))</f>
        <v>2139</v>
      </c>
      <c r="J203" s="367"/>
      <c r="K203" s="159"/>
      <c r="L203" s="159"/>
      <c r="M203" s="159"/>
      <c r="N203" s="159"/>
      <c r="O203" s="159"/>
      <c r="P203" s="226">
        <f t="shared" ref="P203:T204" si="22">ROUND($I203*K203,0)</f>
        <v>0</v>
      </c>
      <c r="Q203" s="226">
        <f t="shared" si="22"/>
        <v>0</v>
      </c>
      <c r="R203" s="226">
        <f t="shared" si="22"/>
        <v>0</v>
      </c>
      <c r="S203" s="226">
        <f t="shared" si="22"/>
        <v>0</v>
      </c>
      <c r="T203" s="226">
        <f t="shared" si="22"/>
        <v>0</v>
      </c>
      <c r="U203" s="227">
        <f>SUM(P203:T203)</f>
        <v>0</v>
      </c>
      <c r="V203" s="195"/>
      <c r="W203" s="195"/>
      <c r="X203" s="195"/>
      <c r="Y203" s="195"/>
      <c r="Z203" s="195"/>
      <c r="AA203" s="195"/>
      <c r="AB203" s="195"/>
      <c r="AC203" s="195"/>
      <c r="AD203" s="195"/>
      <c r="AE203" s="195"/>
      <c r="AF203" s="195"/>
      <c r="AG203" s="195"/>
      <c r="AH203" s="195"/>
      <c r="AI203" s="195"/>
      <c r="AJ203" s="195"/>
      <c r="AK203" s="195"/>
      <c r="AL203" s="195"/>
      <c r="AM203" s="195"/>
      <c r="AN203" s="195"/>
      <c r="AO203" s="195"/>
      <c r="AP203" s="195"/>
      <c r="AQ203" s="195"/>
      <c r="AR203" s="195"/>
      <c r="AS203" s="195"/>
      <c r="AT203" s="195"/>
      <c r="AU203" s="195"/>
      <c r="AV203" s="195"/>
      <c r="AW203" s="195"/>
      <c r="AX203" s="195"/>
      <c r="AY203" s="195"/>
      <c r="AZ203" s="195"/>
      <c r="BA203" s="195"/>
    </row>
    <row r="204" spans="1:53" x14ac:dyDescent="0.2">
      <c r="A204" s="396"/>
      <c r="B204" s="397"/>
      <c r="C204" s="398"/>
      <c r="D204" s="393" t="s">
        <v>198</v>
      </c>
      <c r="E204" s="394"/>
      <c r="F204" s="394"/>
      <c r="G204" s="395"/>
      <c r="H204" s="159" t="s">
        <v>192</v>
      </c>
      <c r="I204" s="366">
        <f>IF(AND($D204=Worksheet!$A$467,Request!$H204="UC"),Worksheet!$B$467,IF(AND($D204=Worksheet!$A$467,Request!$H204="Non-UC"),Worksheet!$C$467,IF(AND(Request!$D204=Worksheet!$A$468,Request!$H204="UC"),Worksheet!$B$468,IF(AND(Request!$D204=Worksheet!$A$468,Request!$H204=Worksheet!$C$466),Worksheet!$C$468,IF(AND(Request!$D204=Worksheet!$A$469,Request!$H204=Worksheet!$B$466),Worksheet!$B$469,IF(AND(Request!$D204=Worksheet!$A$469,Request!$H204=Worksheet!$C$466),Worksheet!$C$469,))))))</f>
        <v>1070</v>
      </c>
      <c r="J204" s="367"/>
      <c r="K204" s="159"/>
      <c r="L204" s="159"/>
      <c r="M204" s="159"/>
      <c r="N204" s="159"/>
      <c r="O204" s="159"/>
      <c r="P204" s="226">
        <f t="shared" si="22"/>
        <v>0</v>
      </c>
      <c r="Q204" s="226">
        <f t="shared" si="22"/>
        <v>0</v>
      </c>
      <c r="R204" s="226">
        <f t="shared" si="22"/>
        <v>0</v>
      </c>
      <c r="S204" s="226">
        <f t="shared" si="22"/>
        <v>0</v>
      </c>
      <c r="T204" s="226">
        <f t="shared" si="22"/>
        <v>0</v>
      </c>
      <c r="U204" s="227">
        <f t="shared" ref="U204:U215" si="23">SUM(P204:T204)</f>
        <v>0</v>
      </c>
      <c r="V204" s="195"/>
      <c r="W204" s="195"/>
      <c r="X204" s="195"/>
      <c r="Y204" s="195"/>
      <c r="Z204" s="195"/>
      <c r="AA204" s="195"/>
      <c r="AB204" s="195"/>
      <c r="AC204" s="195"/>
      <c r="AD204" s="195"/>
      <c r="AE204" s="195"/>
      <c r="AF204" s="195"/>
      <c r="AG204" s="195"/>
      <c r="AH204" s="195"/>
      <c r="AI204" s="195"/>
      <c r="AJ204" s="195"/>
      <c r="AK204" s="195"/>
      <c r="AL204" s="195"/>
      <c r="AM204" s="195"/>
      <c r="AN204" s="195"/>
      <c r="AO204" s="195"/>
      <c r="AP204" s="195"/>
      <c r="AQ204" s="195"/>
      <c r="AR204" s="195"/>
      <c r="AS204" s="195"/>
      <c r="AT204" s="195"/>
      <c r="AU204" s="195"/>
      <c r="AV204" s="195"/>
      <c r="AW204" s="195"/>
      <c r="AX204" s="195"/>
      <c r="AY204" s="195"/>
      <c r="AZ204" s="195"/>
      <c r="BA204" s="195"/>
    </row>
    <row r="205" spans="1:53" x14ac:dyDescent="0.2">
      <c r="A205" s="396"/>
      <c r="B205" s="397"/>
      <c r="C205" s="398"/>
      <c r="D205" s="396" t="s">
        <v>198</v>
      </c>
      <c r="E205" s="397"/>
      <c r="F205" s="397"/>
      <c r="G205" s="398"/>
      <c r="H205" s="159" t="s">
        <v>192</v>
      </c>
      <c r="I205" s="366">
        <f>IF(AND($D205=Worksheet!$A$467,Request!$H205="UC"),Worksheet!$B$467,IF(AND($D205=Worksheet!$A$467,Request!$H205="Non-UC"),Worksheet!$C$467,IF(AND(Request!$D205=Worksheet!$A$468,Request!$H205="UC"),Worksheet!$B$468,IF(AND(Request!$D205=Worksheet!$A$468,Request!$H205=Worksheet!$C$466),Worksheet!$C$468,IF(AND(Request!$D205=Worksheet!$A$469,Request!$H205=Worksheet!$B$466),Worksheet!$B$469,IF(AND(Request!$D205=Worksheet!$A$469,Request!$H205=Worksheet!$C$466),Worksheet!$C$469,))))))</f>
        <v>1070</v>
      </c>
      <c r="J205" s="367"/>
      <c r="K205" s="159"/>
      <c r="L205" s="159"/>
      <c r="M205" s="159"/>
      <c r="N205" s="159"/>
      <c r="O205" s="159"/>
      <c r="P205" s="226">
        <f t="shared" ref="P205:P215" si="24">ROUND($I205*K205,0)</f>
        <v>0</v>
      </c>
      <c r="Q205" s="226">
        <f t="shared" ref="Q205:Q215" si="25">ROUND($I205*L205,0)</f>
        <v>0</v>
      </c>
      <c r="R205" s="226">
        <f>ROUND($I205*M205,0)</f>
        <v>0</v>
      </c>
      <c r="S205" s="226">
        <f>ROUND($I205*N205,0)</f>
        <v>0</v>
      </c>
      <c r="T205" s="226">
        <f t="shared" ref="T205:T215" si="26">ROUND($I205*O205,0)</f>
        <v>0</v>
      </c>
      <c r="U205" s="227">
        <f t="shared" si="23"/>
        <v>0</v>
      </c>
      <c r="V205" s="195"/>
      <c r="W205" s="195"/>
      <c r="X205" s="195"/>
      <c r="Y205" s="195"/>
      <c r="Z205" s="195"/>
      <c r="AA205" s="195"/>
      <c r="AB205" s="195"/>
      <c r="AC205" s="195"/>
      <c r="AD205" s="195"/>
      <c r="AE205" s="195"/>
      <c r="AF205" s="195"/>
      <c r="AG205" s="195"/>
      <c r="AH205" s="195"/>
      <c r="AI205" s="195"/>
      <c r="AJ205" s="195"/>
      <c r="AK205" s="195"/>
      <c r="AL205" s="195"/>
      <c r="AM205" s="195"/>
      <c r="AN205" s="195"/>
      <c r="AO205" s="195"/>
      <c r="AP205" s="195"/>
      <c r="AQ205" s="195"/>
      <c r="AR205" s="195"/>
      <c r="AS205" s="195"/>
      <c r="AT205" s="195"/>
      <c r="AU205" s="195"/>
      <c r="AV205" s="195"/>
      <c r="AW205" s="195"/>
      <c r="AX205" s="195"/>
      <c r="AY205" s="195"/>
      <c r="AZ205" s="195"/>
      <c r="BA205" s="195"/>
    </row>
    <row r="206" spans="1:53" hidden="1" x14ac:dyDescent="0.2">
      <c r="A206" s="396"/>
      <c r="B206" s="397"/>
      <c r="C206" s="398"/>
      <c r="D206" s="393" t="s">
        <v>194</v>
      </c>
      <c r="E206" s="394"/>
      <c r="F206" s="394"/>
      <c r="G206" s="395"/>
      <c r="H206" s="159" t="s">
        <v>192</v>
      </c>
      <c r="I206" s="366">
        <f>IF(AND($D206=Worksheet!$A$467,Request!$H206="UC"),Worksheet!$B$467,IF(AND($D206=Worksheet!$A$467,Request!$H206="Non-UC"),Worksheet!$C$467,IF(AND(Request!$D206=Worksheet!$A$468,Request!$H206="UC"),Worksheet!$B$468,IF(AND(Request!$D206=Worksheet!$A$468,Request!$H206=Worksheet!$C$466),Worksheet!$C$468,IF(AND(Request!$D206=Worksheet!$A$469,Request!$H206=Worksheet!$B$466),Worksheet!$B$469,IF(AND(Request!$D206=Worksheet!$A$469,Request!$H206=Worksheet!$C$466),Worksheet!$C$469,))))))</f>
        <v>2139</v>
      </c>
      <c r="J206" s="367"/>
      <c r="K206" s="159"/>
      <c r="L206" s="159"/>
      <c r="M206" s="159"/>
      <c r="N206" s="159"/>
      <c r="O206" s="159"/>
      <c r="P206" s="226">
        <f t="shared" si="24"/>
        <v>0</v>
      </c>
      <c r="Q206" s="226">
        <f t="shared" si="25"/>
        <v>0</v>
      </c>
      <c r="R206" s="226">
        <f t="shared" ref="R206:R215" si="27">ROUND($I206*M206,0)</f>
        <v>0</v>
      </c>
      <c r="S206" s="226">
        <f t="shared" ref="S206:S215" si="28">ROUND($I206*N206,0)</f>
        <v>0</v>
      </c>
      <c r="T206" s="226">
        <f t="shared" si="26"/>
        <v>0</v>
      </c>
      <c r="U206" s="227">
        <f t="shared" si="23"/>
        <v>0</v>
      </c>
      <c r="V206" s="195"/>
      <c r="W206" s="195"/>
      <c r="X206" s="195"/>
      <c r="Y206" s="195"/>
      <c r="Z206" s="195"/>
      <c r="AA206" s="195"/>
      <c r="AB206" s="195"/>
      <c r="AC206" s="195"/>
      <c r="AD206" s="195"/>
      <c r="AE206" s="195"/>
      <c r="AF206" s="195"/>
      <c r="AG206" s="195"/>
      <c r="AH206" s="195"/>
      <c r="AI206" s="195"/>
      <c r="AJ206" s="195"/>
      <c r="AK206" s="195"/>
      <c r="AL206" s="195"/>
      <c r="AM206" s="195"/>
      <c r="AN206" s="195"/>
      <c r="AO206" s="195"/>
      <c r="AP206" s="195"/>
      <c r="AQ206" s="195"/>
      <c r="AR206" s="195"/>
      <c r="AS206" s="195"/>
      <c r="AT206" s="195"/>
      <c r="AU206" s="195"/>
      <c r="AV206" s="195"/>
      <c r="AW206" s="195"/>
      <c r="AX206" s="195"/>
      <c r="AY206" s="195"/>
      <c r="AZ206" s="195"/>
      <c r="BA206" s="195"/>
    </row>
    <row r="207" spans="1:53" hidden="1" x14ac:dyDescent="0.2">
      <c r="A207" s="224"/>
      <c r="B207" s="228"/>
      <c r="C207" s="229"/>
      <c r="D207" s="393" t="s">
        <v>194</v>
      </c>
      <c r="E207" s="394"/>
      <c r="F207" s="394"/>
      <c r="G207" s="395"/>
      <c r="H207" s="159" t="s">
        <v>192</v>
      </c>
      <c r="I207" s="366">
        <f>IF(AND($D207=Worksheet!$A$467,Request!$H207="UC"),Worksheet!$B$467,IF(AND($D207=Worksheet!$A$467,Request!$H207="Non-UC"),Worksheet!$C$467,IF(AND(Request!$D207=Worksheet!$A$468,Request!$H207="UC"),Worksheet!$B$468,IF(AND(Request!$D207=Worksheet!$A$468,Request!$H207=Worksheet!$C$466),Worksheet!$C$468,IF(AND(Request!$D207=Worksheet!$A$469,Request!$H207=Worksheet!$B$466),Worksheet!$B$469,IF(AND(Request!$D207=Worksheet!$A$469,Request!$H207=Worksheet!$C$466),Worksheet!$C$469,))))))</f>
        <v>2139</v>
      </c>
      <c r="J207" s="367"/>
      <c r="K207" s="159"/>
      <c r="L207" s="159"/>
      <c r="M207" s="159"/>
      <c r="N207" s="159"/>
      <c r="O207" s="159"/>
      <c r="P207" s="226">
        <f t="shared" si="24"/>
        <v>0</v>
      </c>
      <c r="Q207" s="226">
        <f t="shared" si="25"/>
        <v>0</v>
      </c>
      <c r="R207" s="226">
        <f t="shared" si="27"/>
        <v>0</v>
      </c>
      <c r="S207" s="226">
        <f t="shared" si="28"/>
        <v>0</v>
      </c>
      <c r="T207" s="226">
        <f t="shared" si="26"/>
        <v>0</v>
      </c>
      <c r="U207" s="227">
        <f t="shared" si="23"/>
        <v>0</v>
      </c>
      <c r="V207" s="195"/>
      <c r="W207" s="195"/>
      <c r="X207" s="195"/>
      <c r="Y207" s="195"/>
      <c r="Z207" s="195"/>
      <c r="AA207" s="195"/>
      <c r="AB207" s="195"/>
      <c r="AC207" s="195"/>
      <c r="AD207" s="195"/>
      <c r="AE207" s="195"/>
      <c r="AF207" s="195"/>
      <c r="AG207" s="195"/>
      <c r="AH207" s="195"/>
      <c r="AI207" s="195"/>
      <c r="AJ207" s="195"/>
      <c r="AK207" s="195"/>
      <c r="AL207" s="195"/>
      <c r="AM207" s="195"/>
      <c r="AN207" s="195"/>
      <c r="AO207" s="195"/>
      <c r="AP207" s="195"/>
      <c r="AQ207" s="195"/>
      <c r="AR207" s="195"/>
      <c r="AS207" s="195"/>
      <c r="AT207" s="195"/>
      <c r="AU207" s="195"/>
      <c r="AV207" s="195"/>
      <c r="AW207" s="195"/>
      <c r="AX207" s="195"/>
      <c r="AY207" s="195"/>
      <c r="AZ207" s="195"/>
      <c r="BA207" s="195"/>
    </row>
    <row r="208" spans="1:53" hidden="1" x14ac:dyDescent="0.2">
      <c r="A208" s="224"/>
      <c r="B208" s="228"/>
      <c r="C208" s="229"/>
      <c r="D208" s="393" t="s">
        <v>194</v>
      </c>
      <c r="E208" s="394"/>
      <c r="F208" s="394"/>
      <c r="G208" s="395"/>
      <c r="H208" s="159" t="s">
        <v>192</v>
      </c>
      <c r="I208" s="366">
        <f>IF(AND($D208=Worksheet!$A$467,Request!$H208="UC"),Worksheet!$B$467,IF(AND($D208=Worksheet!$A$467,Request!$H208="Non-UC"),Worksheet!$C$467,IF(AND(Request!$D208=Worksheet!$A$468,Request!$H208="UC"),Worksheet!$B$468,IF(AND(Request!$D208=Worksheet!$A$468,Request!$H208=Worksheet!$C$466),Worksheet!$C$468,IF(AND(Request!$D208=Worksheet!$A$469,Request!$H208=Worksheet!$B$466),Worksheet!$B$469,IF(AND(Request!$D208=Worksheet!$A$469,Request!$H208=Worksheet!$C$466),Worksheet!$C$469,))))))</f>
        <v>2139</v>
      </c>
      <c r="J208" s="367"/>
      <c r="K208" s="159"/>
      <c r="L208" s="159"/>
      <c r="M208" s="159"/>
      <c r="N208" s="159"/>
      <c r="O208" s="159"/>
      <c r="P208" s="226">
        <f t="shared" si="24"/>
        <v>0</v>
      </c>
      <c r="Q208" s="226">
        <f t="shared" si="25"/>
        <v>0</v>
      </c>
      <c r="R208" s="226">
        <f t="shared" si="27"/>
        <v>0</v>
      </c>
      <c r="S208" s="226">
        <f t="shared" si="28"/>
        <v>0</v>
      </c>
      <c r="T208" s="226">
        <f t="shared" si="26"/>
        <v>0</v>
      </c>
      <c r="U208" s="227">
        <f t="shared" si="23"/>
        <v>0</v>
      </c>
      <c r="V208" s="195"/>
      <c r="W208" s="195"/>
      <c r="X208" s="195"/>
      <c r="Y208" s="195"/>
      <c r="Z208" s="195"/>
      <c r="AA208" s="195"/>
      <c r="AB208" s="195"/>
      <c r="AC208" s="195"/>
      <c r="AD208" s="195"/>
      <c r="AE208" s="195"/>
      <c r="AF208" s="195"/>
      <c r="AG208" s="195"/>
      <c r="AH208" s="195"/>
      <c r="AI208" s="195"/>
      <c r="AJ208" s="195"/>
      <c r="AK208" s="195"/>
      <c r="AL208" s="195"/>
      <c r="AM208" s="195"/>
      <c r="AN208" s="195"/>
      <c r="AO208" s="195"/>
      <c r="AP208" s="195"/>
      <c r="AQ208" s="195"/>
      <c r="AR208" s="195"/>
      <c r="AS208" s="195"/>
      <c r="AT208" s="195"/>
      <c r="AU208" s="195"/>
      <c r="AV208" s="195"/>
      <c r="AW208" s="195"/>
      <c r="AX208" s="195"/>
      <c r="AY208" s="195"/>
      <c r="AZ208" s="195"/>
      <c r="BA208" s="195"/>
    </row>
    <row r="209" spans="1:53" hidden="1" x14ac:dyDescent="0.2">
      <c r="A209" s="224"/>
      <c r="B209" s="233"/>
      <c r="C209" s="233"/>
      <c r="D209" s="393" t="s">
        <v>194</v>
      </c>
      <c r="E209" s="394"/>
      <c r="F209" s="394"/>
      <c r="G209" s="395"/>
      <c r="H209" s="159" t="s">
        <v>192</v>
      </c>
      <c r="I209" s="366">
        <f>IF(AND($D209=Worksheet!$A$467,Request!$H209="UC"),Worksheet!$B$467,IF(AND($D209=Worksheet!$A$467,Request!$H209="Non-UC"),Worksheet!$C$467,IF(AND(Request!$D209=Worksheet!$A$468,Request!$H209="UC"),Worksheet!$B$468,IF(AND(Request!$D209=Worksheet!$A$468,Request!$H209=Worksheet!$C$466),Worksheet!$C$468,IF(AND(Request!$D209=Worksheet!$A$469,Request!$H209=Worksheet!$B$466),Worksheet!$B$469,IF(AND(Request!$D209=Worksheet!$A$469,Request!$H209=Worksheet!$C$466),Worksheet!$C$469,))))))</f>
        <v>2139</v>
      </c>
      <c r="J209" s="367"/>
      <c r="K209" s="159"/>
      <c r="L209" s="159"/>
      <c r="M209" s="159"/>
      <c r="N209" s="159"/>
      <c r="O209" s="159"/>
      <c r="P209" s="226">
        <f t="shared" si="24"/>
        <v>0</v>
      </c>
      <c r="Q209" s="226">
        <f t="shared" si="25"/>
        <v>0</v>
      </c>
      <c r="R209" s="226">
        <f t="shared" si="27"/>
        <v>0</v>
      </c>
      <c r="S209" s="226">
        <f t="shared" si="28"/>
        <v>0</v>
      </c>
      <c r="T209" s="226">
        <f t="shared" si="26"/>
        <v>0</v>
      </c>
      <c r="U209" s="227">
        <f t="shared" si="23"/>
        <v>0</v>
      </c>
      <c r="V209" s="195"/>
      <c r="W209" s="195"/>
      <c r="X209" s="195"/>
      <c r="Y209" s="195"/>
      <c r="Z209" s="195"/>
      <c r="AA209" s="195"/>
      <c r="AB209" s="195"/>
      <c r="AC209" s="195"/>
      <c r="AD209" s="195"/>
      <c r="AE209" s="195"/>
      <c r="AF209" s="195"/>
      <c r="AG209" s="195"/>
      <c r="AH209" s="195"/>
      <c r="AI209" s="195"/>
      <c r="AJ209" s="195"/>
      <c r="AK209" s="195"/>
      <c r="AL209" s="195"/>
      <c r="AM209" s="195"/>
      <c r="AN209" s="195"/>
      <c r="AO209" s="195"/>
      <c r="AP209" s="195"/>
      <c r="AQ209" s="195"/>
      <c r="AR209" s="195"/>
      <c r="AS209" s="195"/>
      <c r="AT209" s="195"/>
      <c r="AU209" s="195"/>
      <c r="AV209" s="195"/>
      <c r="AW209" s="195"/>
      <c r="AX209" s="195"/>
      <c r="AY209" s="195"/>
      <c r="AZ209" s="195"/>
      <c r="BA209" s="195"/>
    </row>
    <row r="210" spans="1:53" hidden="1" x14ac:dyDescent="0.2">
      <c r="A210" s="241"/>
      <c r="B210" s="232"/>
      <c r="C210" s="232"/>
      <c r="D210" s="393" t="s">
        <v>194</v>
      </c>
      <c r="E210" s="394"/>
      <c r="F210" s="394"/>
      <c r="G210" s="395"/>
      <c r="H210" s="159" t="s">
        <v>192</v>
      </c>
      <c r="I210" s="366">
        <f>IF(AND($D210=Worksheet!$A$467,Request!$H210="UC"),Worksheet!$B$467,IF(AND($D210=Worksheet!$A$467,Request!$H210="Non-UC"),Worksheet!$C$467,IF(AND(Request!$D210=Worksheet!$A$468,Request!$H210="UC"),Worksheet!$B$468,IF(AND(Request!$D210=Worksheet!$A$468,Request!$H210=Worksheet!$C$466),Worksheet!$C$468,IF(AND(Request!$D210=Worksheet!$A$469,Request!$H210=Worksheet!$B$466),Worksheet!$B$469,IF(AND(Request!$D210=Worksheet!$A$469,Request!$H210=Worksheet!$C$466),Worksheet!$C$469,))))))</f>
        <v>2139</v>
      </c>
      <c r="J210" s="367"/>
      <c r="K210" s="159"/>
      <c r="L210" s="159"/>
      <c r="M210" s="159"/>
      <c r="N210" s="159"/>
      <c r="O210" s="159"/>
      <c r="P210" s="226">
        <f t="shared" si="24"/>
        <v>0</v>
      </c>
      <c r="Q210" s="226">
        <f t="shared" si="25"/>
        <v>0</v>
      </c>
      <c r="R210" s="226">
        <f t="shared" si="27"/>
        <v>0</v>
      </c>
      <c r="S210" s="226">
        <f t="shared" si="28"/>
        <v>0</v>
      </c>
      <c r="T210" s="226">
        <f t="shared" si="26"/>
        <v>0</v>
      </c>
      <c r="U210" s="227">
        <f t="shared" si="23"/>
        <v>0</v>
      </c>
      <c r="V210" s="195"/>
      <c r="W210" s="195"/>
      <c r="X210" s="195"/>
      <c r="Y210" s="195"/>
      <c r="Z210" s="195"/>
      <c r="AA210" s="195"/>
      <c r="AB210" s="195"/>
      <c r="AC210" s="195"/>
      <c r="AD210" s="195"/>
      <c r="AE210" s="195"/>
      <c r="AF210" s="195"/>
      <c r="AG210" s="195"/>
      <c r="AH210" s="195"/>
      <c r="AI210" s="195"/>
      <c r="AJ210" s="195"/>
      <c r="AK210" s="195"/>
      <c r="AL210" s="195"/>
      <c r="AM210" s="195"/>
      <c r="AN210" s="195"/>
      <c r="AO210" s="195"/>
      <c r="AP210" s="195"/>
      <c r="AQ210" s="195"/>
      <c r="AR210" s="195"/>
      <c r="AS210" s="195"/>
      <c r="AT210" s="195"/>
      <c r="AU210" s="195"/>
      <c r="AV210" s="195"/>
      <c r="AW210" s="195"/>
      <c r="AX210" s="195"/>
      <c r="AY210" s="195"/>
      <c r="AZ210" s="195"/>
      <c r="BA210" s="195"/>
    </row>
    <row r="211" spans="1:53" hidden="1" x14ac:dyDescent="0.2">
      <c r="A211" s="224"/>
      <c r="B211" s="232"/>
      <c r="C211" s="232"/>
      <c r="D211" s="393" t="s">
        <v>194</v>
      </c>
      <c r="E211" s="394"/>
      <c r="F211" s="394"/>
      <c r="G211" s="395"/>
      <c r="H211" s="159" t="s">
        <v>192</v>
      </c>
      <c r="I211" s="366">
        <f>IF(AND($D211=Worksheet!$A$467,Request!$H211="UC"),Worksheet!$B$467,IF(AND($D211=Worksheet!$A$467,Request!$H211="Non-UC"),Worksheet!$C$467,IF(AND(Request!$D211=Worksheet!$A$468,Request!$H211="UC"),Worksheet!$B$468,IF(AND(Request!$D211=Worksheet!$A$468,Request!$H211=Worksheet!$C$466),Worksheet!$C$468,IF(AND(Request!$D211=Worksheet!$A$469,Request!$H211=Worksheet!$B$466),Worksheet!$B$469,IF(AND(Request!$D211=Worksheet!$A$469,Request!$H211=Worksheet!$C$466),Worksheet!$C$469,))))))</f>
        <v>2139</v>
      </c>
      <c r="J211" s="367"/>
      <c r="K211" s="159"/>
      <c r="L211" s="159"/>
      <c r="M211" s="159"/>
      <c r="N211" s="159"/>
      <c r="O211" s="159"/>
      <c r="P211" s="226">
        <f t="shared" si="24"/>
        <v>0</v>
      </c>
      <c r="Q211" s="226">
        <f t="shared" si="25"/>
        <v>0</v>
      </c>
      <c r="R211" s="226">
        <f t="shared" si="27"/>
        <v>0</v>
      </c>
      <c r="S211" s="226">
        <f t="shared" si="28"/>
        <v>0</v>
      </c>
      <c r="T211" s="226">
        <f t="shared" si="26"/>
        <v>0</v>
      </c>
      <c r="U211" s="227">
        <f t="shared" si="23"/>
        <v>0</v>
      </c>
      <c r="V211" s="195"/>
      <c r="W211" s="195"/>
      <c r="X211" s="195"/>
      <c r="Y211" s="195"/>
      <c r="Z211" s="195"/>
      <c r="AA211" s="195"/>
      <c r="AB211" s="195"/>
      <c r="AC211" s="195"/>
      <c r="AD211" s="195"/>
      <c r="AE211" s="195"/>
      <c r="AF211" s="195"/>
      <c r="AG211" s="195"/>
      <c r="AH211" s="195"/>
      <c r="AI211" s="195"/>
      <c r="AJ211" s="195"/>
      <c r="AK211" s="195"/>
      <c r="AL211" s="195"/>
      <c r="AM211" s="195"/>
      <c r="AN211" s="195"/>
      <c r="AO211" s="195"/>
      <c r="AP211" s="195"/>
      <c r="AQ211" s="195"/>
      <c r="AR211" s="195"/>
      <c r="AS211" s="195"/>
      <c r="AT211" s="195"/>
      <c r="AU211" s="195"/>
      <c r="AV211" s="195"/>
      <c r="AW211" s="195"/>
      <c r="AX211" s="195"/>
      <c r="AY211" s="195"/>
      <c r="AZ211" s="195"/>
      <c r="BA211" s="195"/>
    </row>
    <row r="212" spans="1:53" hidden="1" x14ac:dyDescent="0.2">
      <c r="A212" s="224"/>
      <c r="B212" s="232"/>
      <c r="C212" s="232"/>
      <c r="D212" s="393" t="s">
        <v>194</v>
      </c>
      <c r="E212" s="394"/>
      <c r="F212" s="394"/>
      <c r="G212" s="395"/>
      <c r="H212" s="159" t="s">
        <v>192</v>
      </c>
      <c r="I212" s="366">
        <f>IF(AND($D212=Worksheet!$A$467,Request!$H212="UC"),Worksheet!$B$467,IF(AND($D212=Worksheet!$A$467,Request!$H212="Non-UC"),Worksheet!$C$467,IF(AND(Request!$D212=Worksheet!$A$468,Request!$H212="UC"),Worksheet!$B$468,IF(AND(Request!$D212=Worksheet!$A$468,Request!$H212=Worksheet!$C$466),Worksheet!$C$468,IF(AND(Request!$D212=Worksheet!$A$469,Request!$H212=Worksheet!$B$466),Worksheet!$B$469,IF(AND(Request!$D212=Worksheet!$A$469,Request!$H212=Worksheet!$C$466),Worksheet!$C$469,))))))</f>
        <v>2139</v>
      </c>
      <c r="J212" s="367"/>
      <c r="K212" s="159"/>
      <c r="L212" s="159"/>
      <c r="M212" s="159"/>
      <c r="N212" s="159"/>
      <c r="O212" s="159"/>
      <c r="P212" s="226">
        <f t="shared" si="24"/>
        <v>0</v>
      </c>
      <c r="Q212" s="226">
        <f t="shared" si="25"/>
        <v>0</v>
      </c>
      <c r="R212" s="226">
        <f t="shared" si="27"/>
        <v>0</v>
      </c>
      <c r="S212" s="226">
        <f t="shared" si="28"/>
        <v>0</v>
      </c>
      <c r="T212" s="226">
        <f t="shared" si="26"/>
        <v>0</v>
      </c>
      <c r="U212" s="227">
        <f t="shared" si="23"/>
        <v>0</v>
      </c>
      <c r="V212" s="195"/>
      <c r="W212" s="195"/>
      <c r="X212" s="195"/>
      <c r="Y212" s="195"/>
      <c r="Z212" s="195"/>
      <c r="AA212" s="195"/>
      <c r="AB212" s="195"/>
      <c r="AC212" s="195"/>
      <c r="AD212" s="195"/>
      <c r="AE212" s="195"/>
      <c r="AF212" s="195"/>
      <c r="AG212" s="195"/>
      <c r="AH212" s="195"/>
      <c r="AI212" s="195"/>
      <c r="AJ212" s="195"/>
      <c r="AK212" s="195"/>
      <c r="AL212" s="195"/>
      <c r="AM212" s="195"/>
      <c r="AN212" s="195"/>
      <c r="AO212" s="195"/>
      <c r="AP212" s="195"/>
      <c r="AQ212" s="195"/>
      <c r="AR212" s="195"/>
      <c r="AS212" s="195"/>
      <c r="AT212" s="195"/>
      <c r="AU212" s="195"/>
      <c r="AV212" s="195"/>
      <c r="AW212" s="195"/>
      <c r="AX212" s="195"/>
      <c r="AY212" s="195"/>
      <c r="AZ212" s="195"/>
      <c r="BA212" s="195"/>
    </row>
    <row r="213" spans="1:53" hidden="1" x14ac:dyDescent="0.2">
      <c r="A213" s="224"/>
      <c r="B213" s="232"/>
      <c r="C213" s="232"/>
      <c r="D213" s="393" t="s">
        <v>194</v>
      </c>
      <c r="E213" s="394"/>
      <c r="F213" s="394"/>
      <c r="G213" s="395"/>
      <c r="H213" s="159" t="s">
        <v>192</v>
      </c>
      <c r="I213" s="366">
        <f>IF(AND($D213=Worksheet!$A$467,Request!$H213="UC"),Worksheet!$B$467,IF(AND($D213=Worksheet!$A$467,Request!$H213="Non-UC"),Worksheet!$C$467,IF(AND(Request!$D213=Worksheet!$A$468,Request!$H213="UC"),Worksheet!$B$468,IF(AND(Request!$D213=Worksheet!$A$468,Request!$H213=Worksheet!$C$466),Worksheet!$C$468,IF(AND(Request!$D213=Worksheet!$A$469,Request!$H213=Worksheet!$B$466),Worksheet!$B$469,IF(AND(Request!$D213=Worksheet!$A$469,Request!$H213=Worksheet!$C$466),Worksheet!$C$469,))))))</f>
        <v>2139</v>
      </c>
      <c r="J213" s="367"/>
      <c r="K213" s="159"/>
      <c r="L213" s="159"/>
      <c r="M213" s="159"/>
      <c r="N213" s="159"/>
      <c r="O213" s="159"/>
      <c r="P213" s="226">
        <f t="shared" si="24"/>
        <v>0</v>
      </c>
      <c r="Q213" s="226">
        <f t="shared" si="25"/>
        <v>0</v>
      </c>
      <c r="R213" s="226">
        <f t="shared" si="27"/>
        <v>0</v>
      </c>
      <c r="S213" s="226">
        <f t="shared" si="28"/>
        <v>0</v>
      </c>
      <c r="T213" s="226">
        <f t="shared" si="26"/>
        <v>0</v>
      </c>
      <c r="U213" s="227">
        <f t="shared" si="23"/>
        <v>0</v>
      </c>
      <c r="V213" s="195"/>
      <c r="W213" s="195"/>
      <c r="X213" s="195"/>
      <c r="Y213" s="195"/>
      <c r="Z213" s="195"/>
      <c r="AA213" s="195"/>
      <c r="AB213" s="195"/>
      <c r="AC213" s="195"/>
      <c r="AD213" s="195"/>
      <c r="AE213" s="195"/>
      <c r="AF213" s="195"/>
      <c r="AG213" s="195"/>
      <c r="AH213" s="195"/>
      <c r="AI213" s="195"/>
      <c r="AJ213" s="195"/>
      <c r="AK213" s="195"/>
      <c r="AL213" s="195"/>
      <c r="AM213" s="195"/>
      <c r="AN213" s="195"/>
      <c r="AO213" s="195"/>
      <c r="AP213" s="195"/>
      <c r="AQ213" s="195"/>
      <c r="AR213" s="195"/>
      <c r="AS213" s="195"/>
      <c r="AT213" s="195"/>
      <c r="AU213" s="195"/>
      <c r="AV213" s="195"/>
      <c r="AW213" s="195"/>
      <c r="AX213" s="195"/>
      <c r="AY213" s="195"/>
      <c r="AZ213" s="195"/>
      <c r="BA213" s="195"/>
    </row>
    <row r="214" spans="1:53" hidden="1" x14ac:dyDescent="0.2">
      <c r="A214" s="224"/>
      <c r="B214" s="232"/>
      <c r="C214" s="232"/>
      <c r="D214" s="393" t="s">
        <v>194</v>
      </c>
      <c r="E214" s="394"/>
      <c r="F214" s="394"/>
      <c r="G214" s="395"/>
      <c r="H214" s="159" t="s">
        <v>192</v>
      </c>
      <c r="I214" s="366">
        <f>IF(AND($D214=Worksheet!$A$467,Request!$H214="UC"),Worksheet!$B$467,IF(AND($D214=Worksheet!$A$467,Request!$H214="Non-UC"),Worksheet!$C$467,IF(AND(Request!$D214=Worksheet!$A$468,Request!$H214="UC"),Worksheet!$B$468,IF(AND(Request!$D214=Worksheet!$A$468,Request!$H214=Worksheet!$C$466),Worksheet!$C$468,IF(AND(Request!$D214=Worksheet!$A$469,Request!$H214=Worksheet!$B$466),Worksheet!$B$469,IF(AND(Request!$D214=Worksheet!$A$469,Request!$H214=Worksheet!$C$466),Worksheet!$C$469,))))))</f>
        <v>2139</v>
      </c>
      <c r="J214" s="367"/>
      <c r="K214" s="159"/>
      <c r="L214" s="159"/>
      <c r="M214" s="159"/>
      <c r="N214" s="159"/>
      <c r="O214" s="159"/>
      <c r="P214" s="226">
        <f t="shared" si="24"/>
        <v>0</v>
      </c>
      <c r="Q214" s="226">
        <f t="shared" si="25"/>
        <v>0</v>
      </c>
      <c r="R214" s="226">
        <f t="shared" si="27"/>
        <v>0</v>
      </c>
      <c r="S214" s="226">
        <f t="shared" si="28"/>
        <v>0</v>
      </c>
      <c r="T214" s="226">
        <f t="shared" si="26"/>
        <v>0</v>
      </c>
      <c r="U214" s="227">
        <f t="shared" si="23"/>
        <v>0</v>
      </c>
      <c r="V214" s="195"/>
      <c r="W214" s="195"/>
      <c r="X214" s="195"/>
      <c r="Y214" s="195"/>
      <c r="Z214" s="195"/>
      <c r="AA214" s="195"/>
      <c r="AB214" s="195"/>
      <c r="AC214" s="195"/>
      <c r="AD214" s="195"/>
      <c r="AE214" s="195"/>
      <c r="AF214" s="195"/>
      <c r="AG214" s="195"/>
      <c r="AH214" s="195"/>
      <c r="AI214" s="195"/>
      <c r="AJ214" s="195"/>
      <c r="AK214" s="195"/>
      <c r="AL214" s="195"/>
      <c r="AM214" s="195"/>
      <c r="AN214" s="195"/>
      <c r="AO214" s="195"/>
      <c r="AP214" s="195"/>
      <c r="AQ214" s="195"/>
      <c r="AR214" s="195"/>
      <c r="AS214" s="195"/>
      <c r="AT214" s="195"/>
      <c r="AU214" s="195"/>
      <c r="AV214" s="195"/>
      <c r="AW214" s="195"/>
      <c r="AX214" s="195"/>
      <c r="AY214" s="195"/>
      <c r="AZ214" s="195"/>
      <c r="BA214" s="195"/>
    </row>
    <row r="215" spans="1:53" hidden="1" x14ac:dyDescent="0.2">
      <c r="A215" s="224"/>
      <c r="B215" s="225"/>
      <c r="C215" s="232"/>
      <c r="D215" s="396" t="s">
        <v>194</v>
      </c>
      <c r="E215" s="397"/>
      <c r="F215" s="397"/>
      <c r="G215" s="398"/>
      <c r="H215" s="159" t="s">
        <v>192</v>
      </c>
      <c r="I215" s="366">
        <f>IF(AND($D215=Worksheet!$A$467,Request!$H215="UC"),Worksheet!$B$467,IF(AND($D215=Worksheet!$A$467,Request!$H215="Non-UC"),Worksheet!$C$467,IF(AND(Request!$D215=Worksheet!$A$468,Request!$H215="UC"),Worksheet!$B$468,IF(AND(Request!$D215=Worksheet!$A$468,Request!$H215=Worksheet!$C$466),Worksheet!$C$468,IF(AND(Request!$D215=Worksheet!$A$469,Request!$H215=Worksheet!$B$466),Worksheet!$B$469,IF(AND(Request!$D215=Worksheet!$A$469,Request!$H215=Worksheet!$C$466),Worksheet!$C$469,))))))</f>
        <v>2139</v>
      </c>
      <c r="J215" s="367"/>
      <c r="K215" s="159"/>
      <c r="L215" s="159"/>
      <c r="M215" s="159"/>
      <c r="N215" s="159"/>
      <c r="O215" s="159"/>
      <c r="P215" s="226">
        <f t="shared" si="24"/>
        <v>0</v>
      </c>
      <c r="Q215" s="226">
        <f t="shared" si="25"/>
        <v>0</v>
      </c>
      <c r="R215" s="226">
        <f t="shared" si="27"/>
        <v>0</v>
      </c>
      <c r="S215" s="226">
        <f t="shared" si="28"/>
        <v>0</v>
      </c>
      <c r="T215" s="226">
        <f t="shared" si="26"/>
        <v>0</v>
      </c>
      <c r="U215" s="227">
        <f t="shared" si="23"/>
        <v>0</v>
      </c>
      <c r="V215" s="195"/>
      <c r="W215" s="195"/>
      <c r="X215" s="195"/>
      <c r="Y215" s="195"/>
      <c r="Z215" s="195"/>
      <c r="AA215" s="195"/>
      <c r="AB215" s="195"/>
      <c r="AC215" s="195"/>
      <c r="AD215" s="195"/>
      <c r="AE215" s="195"/>
      <c r="AF215" s="195"/>
      <c r="AG215" s="195"/>
      <c r="AH215" s="195"/>
      <c r="AI215" s="195"/>
      <c r="AJ215" s="195"/>
      <c r="AK215" s="195"/>
      <c r="AL215" s="195"/>
      <c r="AM215" s="195"/>
      <c r="AN215" s="195"/>
      <c r="AO215" s="195"/>
      <c r="AP215" s="195"/>
      <c r="AQ215" s="195"/>
      <c r="AR215" s="195"/>
      <c r="AS215" s="195"/>
      <c r="AT215" s="195"/>
      <c r="AU215" s="195"/>
      <c r="AV215" s="195"/>
      <c r="AW215" s="195"/>
      <c r="AX215" s="195"/>
      <c r="AY215" s="195"/>
      <c r="AZ215" s="195"/>
      <c r="BA215" s="195"/>
    </row>
    <row r="216" spans="1:53" x14ac:dyDescent="0.2">
      <c r="A216" s="264" t="s">
        <v>189</v>
      </c>
      <c r="B216" s="48"/>
      <c r="C216" s="48"/>
      <c r="D216" s="48"/>
      <c r="E216" s="48"/>
      <c r="F216" s="48"/>
      <c r="G216" s="48"/>
      <c r="H216" s="48"/>
      <c r="I216" s="364" t="s">
        <v>96</v>
      </c>
      <c r="J216" s="365"/>
      <c r="K216" s="424" t="s">
        <v>234</v>
      </c>
      <c r="L216" s="425"/>
      <c r="M216" s="425"/>
      <c r="N216" s="425"/>
      <c r="O216" s="426"/>
      <c r="P216" s="265">
        <f t="shared" ref="P216:U216" si="29">SUM(P217:P225)</f>
        <v>0</v>
      </c>
      <c r="Q216" s="265">
        <f t="shared" si="29"/>
        <v>0</v>
      </c>
      <c r="R216" s="265">
        <f t="shared" si="29"/>
        <v>0</v>
      </c>
      <c r="S216" s="265">
        <f t="shared" si="29"/>
        <v>0</v>
      </c>
      <c r="T216" s="265">
        <f t="shared" si="29"/>
        <v>0</v>
      </c>
      <c r="U216" s="237">
        <f t="shared" si="29"/>
        <v>0</v>
      </c>
      <c r="V216" s="195"/>
      <c r="W216" s="195"/>
      <c r="X216" s="195"/>
      <c r="Y216" s="195"/>
      <c r="Z216" s="195"/>
      <c r="AA216" s="195"/>
      <c r="AB216" s="195"/>
      <c r="AC216" s="195"/>
      <c r="AD216" s="195"/>
      <c r="AE216" s="195"/>
      <c r="AF216" s="195"/>
      <c r="AG216" s="195"/>
      <c r="AH216" s="195"/>
      <c r="AI216" s="195"/>
      <c r="AJ216" s="195"/>
      <c r="AK216" s="195"/>
      <c r="AL216" s="195"/>
      <c r="AM216" s="195"/>
      <c r="AN216" s="195"/>
      <c r="AO216" s="195"/>
      <c r="AP216" s="195"/>
      <c r="AQ216" s="195"/>
      <c r="AR216" s="195"/>
      <c r="AS216" s="195"/>
      <c r="AT216" s="195"/>
      <c r="AU216" s="195"/>
      <c r="AV216" s="195"/>
      <c r="AW216" s="195"/>
      <c r="AX216" s="195"/>
      <c r="AY216" s="195"/>
      <c r="AZ216" s="195"/>
      <c r="BA216" s="195"/>
    </row>
    <row r="217" spans="1:53" x14ac:dyDescent="0.2">
      <c r="A217" s="189"/>
      <c r="B217" s="168"/>
      <c r="C217" s="168"/>
      <c r="D217" s="168"/>
      <c r="E217" s="168"/>
      <c r="F217" s="168"/>
      <c r="G217" s="168"/>
      <c r="H217" s="168"/>
      <c r="I217" s="168"/>
      <c r="J217" s="168"/>
      <c r="K217" s="168"/>
      <c r="L217" s="168"/>
      <c r="M217" s="168"/>
      <c r="N217" s="168"/>
      <c r="O217" s="240"/>
      <c r="P217" s="169"/>
      <c r="Q217" s="169"/>
      <c r="R217" s="169"/>
      <c r="S217" s="169"/>
      <c r="T217" s="169"/>
      <c r="U217" s="77">
        <f t="shared" ref="U217:U225" si="30">SUM(P217:T217)</f>
        <v>0</v>
      </c>
      <c r="V217" s="195"/>
      <c r="W217" s="195"/>
      <c r="X217" s="195"/>
      <c r="Y217" s="195"/>
      <c r="Z217" s="195"/>
      <c r="AA217" s="195"/>
      <c r="AB217" s="195"/>
      <c r="AC217" s="195"/>
      <c r="AD217" s="195"/>
      <c r="AE217" s="195"/>
      <c r="AF217" s="195"/>
      <c r="AG217" s="195"/>
      <c r="AH217" s="195"/>
      <c r="AI217" s="195"/>
      <c r="AJ217" s="195"/>
      <c r="AK217" s="195"/>
      <c r="AL217" s="195"/>
      <c r="AM217" s="195"/>
      <c r="AN217" s="195"/>
      <c r="AO217" s="195"/>
      <c r="AP217" s="195"/>
      <c r="AQ217" s="195"/>
      <c r="AR217" s="195"/>
      <c r="AS217" s="195"/>
      <c r="AT217" s="195"/>
      <c r="AU217" s="195"/>
      <c r="AV217" s="195"/>
      <c r="AW217" s="195"/>
      <c r="AX217" s="195"/>
      <c r="AY217" s="195"/>
      <c r="AZ217" s="195"/>
      <c r="BA217" s="195"/>
    </row>
    <row r="218" spans="1:53" x14ac:dyDescent="0.2">
      <c r="A218" s="189"/>
      <c r="B218" s="168"/>
      <c r="C218" s="168"/>
      <c r="D218" s="168"/>
      <c r="E218" s="168"/>
      <c r="F218" s="168"/>
      <c r="G218" s="168"/>
      <c r="H218" s="168"/>
      <c r="I218" s="168"/>
      <c r="J218" s="168"/>
      <c r="K218" s="168"/>
      <c r="L218" s="168"/>
      <c r="M218" s="168"/>
      <c r="N218" s="168"/>
      <c r="O218" s="240"/>
      <c r="P218" s="169"/>
      <c r="Q218" s="169"/>
      <c r="R218" s="169"/>
      <c r="S218" s="169"/>
      <c r="T218" s="169"/>
      <c r="U218" s="77">
        <f t="shared" si="30"/>
        <v>0</v>
      </c>
      <c r="V218" s="195"/>
      <c r="W218" s="195"/>
      <c r="X218" s="195"/>
      <c r="Y218" s="195"/>
      <c r="Z218" s="195"/>
      <c r="AA218" s="195"/>
      <c r="AB218" s="195"/>
      <c r="AC218" s="195"/>
      <c r="AD218" s="195"/>
      <c r="AE218" s="195"/>
      <c r="AF218" s="195"/>
      <c r="AG218" s="195"/>
      <c r="AH218" s="195"/>
      <c r="AI218" s="195"/>
      <c r="AJ218" s="195"/>
      <c r="AK218" s="195"/>
      <c r="AL218" s="195"/>
      <c r="AM218" s="195"/>
      <c r="AN218" s="195"/>
      <c r="AO218" s="195"/>
      <c r="AP218" s="195"/>
      <c r="AQ218" s="195"/>
      <c r="AR218" s="195"/>
      <c r="AS218" s="195"/>
      <c r="AT218" s="195"/>
      <c r="AU218" s="195"/>
      <c r="AV218" s="195"/>
      <c r="AW218" s="195"/>
      <c r="AX218" s="195"/>
      <c r="AY218" s="195"/>
      <c r="AZ218" s="195"/>
      <c r="BA218" s="195"/>
    </row>
    <row r="219" spans="1:53" x14ac:dyDescent="0.2">
      <c r="A219" s="189"/>
      <c r="B219" s="168"/>
      <c r="C219" s="168"/>
      <c r="D219" s="168"/>
      <c r="E219" s="168"/>
      <c r="F219" s="168"/>
      <c r="G219" s="168"/>
      <c r="H219" s="168"/>
      <c r="I219" s="168"/>
      <c r="J219" s="168"/>
      <c r="K219" s="168"/>
      <c r="L219" s="168"/>
      <c r="M219" s="168"/>
      <c r="N219" s="168"/>
      <c r="O219" s="240"/>
      <c r="P219" s="169"/>
      <c r="Q219" s="169"/>
      <c r="R219" s="169"/>
      <c r="S219" s="169"/>
      <c r="T219" s="169"/>
      <c r="U219" s="77">
        <f t="shared" si="30"/>
        <v>0</v>
      </c>
      <c r="V219" s="195"/>
      <c r="W219" s="195"/>
      <c r="X219" s="195"/>
      <c r="Y219" s="195"/>
      <c r="Z219" s="195"/>
      <c r="AA219" s="195"/>
      <c r="AB219" s="195"/>
      <c r="AC219" s="195"/>
      <c r="AD219" s="195"/>
      <c r="AE219" s="195"/>
      <c r="AF219" s="195"/>
      <c r="AG219" s="195"/>
      <c r="AH219" s="195"/>
      <c r="AI219" s="195"/>
      <c r="AJ219" s="195"/>
      <c r="AK219" s="195"/>
      <c r="AL219" s="195"/>
      <c r="AM219" s="195"/>
      <c r="AN219" s="195"/>
      <c r="AO219" s="195"/>
      <c r="AP219" s="195"/>
      <c r="AQ219" s="195"/>
      <c r="AR219" s="195"/>
      <c r="AS219" s="195"/>
      <c r="AT219" s="195"/>
      <c r="AU219" s="195"/>
      <c r="AV219" s="195"/>
      <c r="AW219" s="195"/>
      <c r="AX219" s="195"/>
      <c r="AY219" s="195"/>
      <c r="AZ219" s="195"/>
      <c r="BA219" s="195"/>
    </row>
    <row r="220" spans="1:53" hidden="1" x14ac:dyDescent="0.2">
      <c r="A220" s="189"/>
      <c r="B220" s="168"/>
      <c r="C220" s="168"/>
      <c r="D220" s="168"/>
      <c r="E220" s="168"/>
      <c r="F220" s="168"/>
      <c r="G220" s="168"/>
      <c r="H220" s="168"/>
      <c r="I220" s="168"/>
      <c r="J220" s="168"/>
      <c r="K220" s="168"/>
      <c r="L220" s="168"/>
      <c r="M220" s="168"/>
      <c r="N220" s="168"/>
      <c r="O220" s="240"/>
      <c r="P220" s="169"/>
      <c r="Q220" s="169"/>
      <c r="R220" s="169"/>
      <c r="S220" s="169"/>
      <c r="T220" s="169"/>
      <c r="U220" s="77">
        <f t="shared" si="30"/>
        <v>0</v>
      </c>
      <c r="V220" s="195"/>
      <c r="W220" s="195"/>
      <c r="X220" s="195"/>
      <c r="Y220" s="195"/>
      <c r="Z220" s="195"/>
      <c r="AA220" s="195"/>
      <c r="AB220" s="195"/>
      <c r="AC220" s="195"/>
      <c r="AD220" s="195"/>
      <c r="AE220" s="195"/>
      <c r="AF220" s="195"/>
      <c r="AG220" s="195"/>
      <c r="AH220" s="195"/>
      <c r="AI220" s="195"/>
      <c r="AJ220" s="195"/>
      <c r="AK220" s="195"/>
      <c r="AL220" s="195"/>
      <c r="AM220" s="195"/>
      <c r="AN220" s="195"/>
      <c r="AO220" s="195"/>
      <c r="AP220" s="195"/>
      <c r="AQ220" s="195"/>
      <c r="AR220" s="195"/>
      <c r="AS220" s="195"/>
      <c r="AT220" s="195"/>
      <c r="AU220" s="195"/>
      <c r="AV220" s="195"/>
      <c r="AW220" s="195"/>
      <c r="AX220" s="195"/>
      <c r="AY220" s="195"/>
      <c r="AZ220" s="195"/>
      <c r="BA220" s="195"/>
    </row>
    <row r="221" spans="1:53" hidden="1" x14ac:dyDescent="0.2">
      <c r="A221" s="189"/>
      <c r="B221" s="168"/>
      <c r="C221" s="168"/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240"/>
      <c r="P221" s="169"/>
      <c r="Q221" s="169"/>
      <c r="R221" s="169"/>
      <c r="S221" s="169"/>
      <c r="T221" s="169"/>
      <c r="U221" s="77">
        <f t="shared" si="30"/>
        <v>0</v>
      </c>
      <c r="V221" s="195"/>
      <c r="W221" s="195"/>
      <c r="X221" s="195"/>
      <c r="Y221" s="195"/>
      <c r="Z221" s="195"/>
      <c r="AA221" s="195"/>
      <c r="AB221" s="195"/>
      <c r="AC221" s="195"/>
      <c r="AD221" s="195"/>
      <c r="AE221" s="195"/>
      <c r="AF221" s="195"/>
      <c r="AG221" s="195"/>
      <c r="AH221" s="195"/>
      <c r="AI221" s="195"/>
      <c r="AJ221" s="195"/>
      <c r="AK221" s="195"/>
      <c r="AL221" s="195"/>
      <c r="AM221" s="195"/>
      <c r="AN221" s="195"/>
      <c r="AO221" s="195"/>
      <c r="AP221" s="195"/>
      <c r="AQ221" s="195"/>
      <c r="AR221" s="195"/>
      <c r="AS221" s="195"/>
      <c r="AT221" s="195"/>
      <c r="AU221" s="195"/>
      <c r="AV221" s="195"/>
      <c r="AW221" s="195"/>
      <c r="AX221" s="195"/>
      <c r="AY221" s="195"/>
      <c r="AZ221" s="195"/>
      <c r="BA221" s="195"/>
    </row>
    <row r="222" spans="1:53" hidden="1" x14ac:dyDescent="0.2">
      <c r="A222" s="189"/>
      <c r="B222" s="168"/>
      <c r="C222" s="168"/>
      <c r="D222" s="168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240"/>
      <c r="P222" s="169"/>
      <c r="Q222" s="169"/>
      <c r="R222" s="169"/>
      <c r="S222" s="169"/>
      <c r="T222" s="169"/>
      <c r="U222" s="77">
        <f t="shared" si="30"/>
        <v>0</v>
      </c>
      <c r="V222" s="195"/>
      <c r="W222" s="195"/>
      <c r="X222" s="195"/>
      <c r="Y222" s="195"/>
      <c r="Z222" s="195"/>
      <c r="AA222" s="195"/>
      <c r="AB222" s="195"/>
      <c r="AC222" s="195"/>
      <c r="AD222" s="195"/>
      <c r="AE222" s="195"/>
      <c r="AF222" s="195"/>
      <c r="AG222" s="195"/>
      <c r="AH222" s="195"/>
      <c r="AI222" s="195"/>
      <c r="AJ222" s="195"/>
      <c r="AK222" s="195"/>
      <c r="AL222" s="195"/>
      <c r="AM222" s="195"/>
      <c r="AN222" s="195"/>
      <c r="AO222" s="195"/>
      <c r="AP222" s="195"/>
      <c r="AQ222" s="195"/>
      <c r="AR222" s="195"/>
      <c r="AS222" s="195"/>
      <c r="AT222" s="195"/>
      <c r="AU222" s="195"/>
      <c r="AV222" s="195"/>
      <c r="AW222" s="195"/>
      <c r="AX222" s="195"/>
      <c r="AY222" s="195"/>
      <c r="AZ222" s="195"/>
      <c r="BA222" s="195"/>
    </row>
    <row r="223" spans="1:53" hidden="1" x14ac:dyDescent="0.2">
      <c r="A223" s="189"/>
      <c r="B223" s="168"/>
      <c r="C223" s="168"/>
      <c r="D223" s="168"/>
      <c r="E223" s="168"/>
      <c r="F223" s="168"/>
      <c r="G223" s="168"/>
      <c r="H223" s="168"/>
      <c r="I223" s="168"/>
      <c r="J223" s="168"/>
      <c r="K223" s="168"/>
      <c r="L223" s="168"/>
      <c r="M223" s="168"/>
      <c r="N223" s="168"/>
      <c r="O223" s="240"/>
      <c r="P223" s="169"/>
      <c r="Q223" s="169"/>
      <c r="R223" s="169"/>
      <c r="S223" s="169"/>
      <c r="T223" s="169"/>
      <c r="U223" s="77">
        <f t="shared" si="30"/>
        <v>0</v>
      </c>
      <c r="V223" s="195"/>
      <c r="W223" s="195"/>
      <c r="X223" s="195"/>
      <c r="Y223" s="195"/>
      <c r="Z223" s="195"/>
      <c r="AA223" s="195"/>
      <c r="AB223" s="195"/>
      <c r="AC223" s="195"/>
      <c r="AD223" s="195"/>
      <c r="AE223" s="195"/>
      <c r="AF223" s="195"/>
      <c r="AG223" s="195"/>
      <c r="AH223" s="195"/>
      <c r="AI223" s="195"/>
      <c r="AJ223" s="195"/>
      <c r="AK223" s="195"/>
      <c r="AL223" s="195"/>
      <c r="AM223" s="195"/>
      <c r="AN223" s="195"/>
      <c r="AO223" s="195"/>
      <c r="AP223" s="195"/>
      <c r="AQ223" s="195"/>
      <c r="AR223" s="195"/>
      <c r="AS223" s="195"/>
      <c r="AT223" s="195"/>
      <c r="AU223" s="195"/>
      <c r="AV223" s="195"/>
      <c r="AW223" s="195"/>
      <c r="AX223" s="195"/>
      <c r="AY223" s="195"/>
      <c r="AZ223" s="195"/>
      <c r="BA223" s="195"/>
    </row>
    <row r="224" spans="1:53" hidden="1" x14ac:dyDescent="0.2">
      <c r="A224" s="189"/>
      <c r="B224" s="168"/>
      <c r="C224" s="168"/>
      <c r="D224" s="168"/>
      <c r="E224" s="168"/>
      <c r="F224" s="168"/>
      <c r="G224" s="168"/>
      <c r="H224" s="168"/>
      <c r="I224" s="168"/>
      <c r="J224" s="168"/>
      <c r="K224" s="168"/>
      <c r="L224" s="168"/>
      <c r="M224" s="168"/>
      <c r="N224" s="168"/>
      <c r="O224" s="240"/>
      <c r="P224" s="169"/>
      <c r="Q224" s="169"/>
      <c r="R224" s="169"/>
      <c r="S224" s="169"/>
      <c r="T224" s="169"/>
      <c r="U224" s="77">
        <f t="shared" si="30"/>
        <v>0</v>
      </c>
      <c r="V224" s="195"/>
      <c r="W224" s="195"/>
      <c r="X224" s="195"/>
      <c r="Y224" s="195"/>
      <c r="Z224" s="195"/>
      <c r="AA224" s="195"/>
      <c r="AB224" s="195"/>
      <c r="AC224" s="195"/>
      <c r="AD224" s="195"/>
      <c r="AE224" s="195"/>
      <c r="AF224" s="195"/>
      <c r="AG224" s="195"/>
      <c r="AH224" s="195"/>
      <c r="AI224" s="195"/>
      <c r="AJ224" s="195"/>
      <c r="AK224" s="195"/>
      <c r="AL224" s="195"/>
      <c r="AM224" s="195"/>
      <c r="AN224" s="195"/>
      <c r="AO224" s="195"/>
      <c r="AP224" s="195"/>
      <c r="AQ224" s="195"/>
      <c r="AR224" s="195"/>
      <c r="AS224" s="195"/>
      <c r="AT224" s="195"/>
      <c r="AU224" s="195"/>
      <c r="AV224" s="195"/>
      <c r="AW224" s="195"/>
      <c r="AX224" s="195"/>
      <c r="AY224" s="195"/>
      <c r="AZ224" s="195"/>
      <c r="BA224" s="195"/>
    </row>
    <row r="225" spans="1:53" hidden="1" x14ac:dyDescent="0.2">
      <c r="A225" s="189"/>
      <c r="B225" s="168"/>
      <c r="C225" s="168"/>
      <c r="D225" s="168"/>
      <c r="E225" s="168"/>
      <c r="F225" s="168"/>
      <c r="G225" s="168"/>
      <c r="H225" s="168"/>
      <c r="I225" s="168"/>
      <c r="J225" s="168"/>
      <c r="K225" s="168"/>
      <c r="L225" s="168"/>
      <c r="M225" s="168"/>
      <c r="N225" s="168"/>
      <c r="O225" s="240"/>
      <c r="P225" s="169"/>
      <c r="Q225" s="169"/>
      <c r="R225" s="169"/>
      <c r="S225" s="169"/>
      <c r="T225" s="169"/>
      <c r="U225" s="77">
        <f t="shared" si="30"/>
        <v>0</v>
      </c>
      <c r="V225" s="195"/>
      <c r="W225" s="195"/>
      <c r="X225" s="195"/>
      <c r="Y225" s="195"/>
      <c r="Z225" s="195"/>
      <c r="AA225" s="195"/>
      <c r="AB225" s="195"/>
      <c r="AC225" s="195"/>
      <c r="AD225" s="195"/>
      <c r="AE225" s="195"/>
      <c r="AF225" s="195"/>
      <c r="AG225" s="195"/>
      <c r="AH225" s="195"/>
      <c r="AI225" s="195"/>
      <c r="AJ225" s="195"/>
      <c r="AK225" s="195"/>
      <c r="AL225" s="195"/>
      <c r="AM225" s="195"/>
      <c r="AN225" s="195"/>
      <c r="AO225" s="195"/>
      <c r="AP225" s="195"/>
      <c r="AQ225" s="195"/>
      <c r="AR225" s="195"/>
      <c r="AS225" s="195"/>
      <c r="AT225" s="195"/>
      <c r="AU225" s="195"/>
      <c r="AV225" s="195"/>
      <c r="AW225" s="195"/>
      <c r="AX225" s="195"/>
      <c r="AY225" s="195"/>
      <c r="AZ225" s="195"/>
      <c r="BA225" s="195"/>
    </row>
    <row r="226" spans="1:53" x14ac:dyDescent="0.2">
      <c r="A226" s="190" t="s">
        <v>57</v>
      </c>
      <c r="B226" s="176"/>
      <c r="C226" s="176"/>
      <c r="D226" s="176"/>
      <c r="E226" s="176"/>
      <c r="F226" s="176"/>
      <c r="G226" s="176"/>
      <c r="H226" s="176"/>
      <c r="I226" s="176"/>
      <c r="J226" s="176"/>
      <c r="K226" s="391" t="s">
        <v>258</v>
      </c>
      <c r="L226" s="391"/>
      <c r="M226" s="391"/>
      <c r="N226" s="391"/>
      <c r="O226" s="392"/>
      <c r="P226" s="177"/>
      <c r="Q226" s="177"/>
      <c r="R226" s="177"/>
      <c r="S226" s="177"/>
      <c r="T226" s="177"/>
      <c r="U226" s="75"/>
      <c r="V226" s="195"/>
      <c r="W226" s="195"/>
      <c r="X226" s="195"/>
      <c r="Y226" s="195"/>
      <c r="Z226" s="195"/>
      <c r="AA226" s="195"/>
      <c r="AB226" s="195"/>
      <c r="AC226" s="195"/>
      <c r="AD226" s="195"/>
      <c r="AE226" s="195"/>
      <c r="AF226" s="195"/>
      <c r="AG226" s="195"/>
      <c r="AH226" s="195"/>
      <c r="AI226" s="195"/>
      <c r="AJ226" s="195"/>
      <c r="AK226" s="195"/>
      <c r="AL226" s="195"/>
      <c r="AM226" s="195"/>
      <c r="AN226" s="195"/>
      <c r="AO226" s="195"/>
      <c r="AP226" s="195"/>
      <c r="AQ226" s="195"/>
      <c r="AR226" s="195"/>
      <c r="AS226" s="195"/>
      <c r="AT226" s="195"/>
      <c r="AU226" s="195"/>
      <c r="AV226" s="195"/>
      <c r="AW226" s="195"/>
      <c r="AX226" s="195"/>
      <c r="AY226" s="195"/>
      <c r="AZ226" s="195"/>
      <c r="BA226" s="195"/>
    </row>
    <row r="227" spans="1:53" x14ac:dyDescent="0.2">
      <c r="A227" s="189"/>
      <c r="B227" s="168"/>
      <c r="C227" s="168"/>
      <c r="D227" s="168"/>
      <c r="E227" s="168"/>
      <c r="F227" s="168"/>
      <c r="G227" s="168"/>
      <c r="H227" s="168"/>
      <c r="I227" s="168"/>
      <c r="J227" s="168"/>
      <c r="K227" s="168"/>
      <c r="L227" s="168"/>
      <c r="M227" s="168"/>
      <c r="N227" s="349" t="s">
        <v>129</v>
      </c>
      <c r="O227" s="350"/>
      <c r="P227" s="169"/>
      <c r="Q227" s="169"/>
      <c r="R227" s="169"/>
      <c r="S227" s="169"/>
      <c r="T227" s="169"/>
      <c r="U227" s="77">
        <f t="shared" ref="U227:U243" si="31">SUM(P227:T227)</f>
        <v>0</v>
      </c>
      <c r="V227" s="195"/>
      <c r="W227" s="195"/>
      <c r="X227" s="195"/>
      <c r="Y227" s="195"/>
      <c r="Z227" s="195"/>
      <c r="AA227" s="195"/>
      <c r="AB227" s="195"/>
      <c r="AC227" s="195"/>
      <c r="AD227" s="195"/>
      <c r="AE227" s="195"/>
      <c r="AF227" s="195"/>
      <c r="AG227" s="195"/>
      <c r="AH227" s="195"/>
      <c r="AI227" s="195"/>
      <c r="AJ227" s="195"/>
      <c r="AK227" s="195"/>
      <c r="AL227" s="195"/>
      <c r="AM227" s="195"/>
      <c r="AN227" s="195"/>
      <c r="AO227" s="195"/>
      <c r="AP227" s="195"/>
      <c r="AQ227" s="195"/>
      <c r="AR227" s="195"/>
      <c r="AS227" s="195"/>
      <c r="AT227" s="195"/>
      <c r="AU227" s="195"/>
      <c r="AV227" s="195"/>
      <c r="AW227" s="195"/>
      <c r="AX227" s="195"/>
      <c r="AY227" s="195"/>
      <c r="AZ227" s="195"/>
      <c r="BA227" s="195"/>
    </row>
    <row r="228" spans="1:53" x14ac:dyDescent="0.2">
      <c r="A228" s="189"/>
      <c r="B228" s="168"/>
      <c r="C228" s="168"/>
      <c r="D228" s="168"/>
      <c r="E228" s="168"/>
      <c r="F228" s="168"/>
      <c r="G228" s="168"/>
      <c r="H228" s="168"/>
      <c r="I228" s="168"/>
      <c r="J228" s="168"/>
      <c r="K228" s="168"/>
      <c r="L228" s="168"/>
      <c r="M228" s="168"/>
      <c r="N228" s="349" t="s">
        <v>129</v>
      </c>
      <c r="O228" s="350"/>
      <c r="P228" s="169"/>
      <c r="Q228" s="169"/>
      <c r="R228" s="169"/>
      <c r="S228" s="169"/>
      <c r="T228" s="169"/>
      <c r="U228" s="77">
        <f t="shared" si="31"/>
        <v>0</v>
      </c>
      <c r="V228" s="195"/>
      <c r="W228" s="195"/>
      <c r="X228" s="195"/>
      <c r="Y228" s="195"/>
      <c r="Z228" s="195"/>
      <c r="AA228" s="195"/>
      <c r="AB228" s="195"/>
      <c r="AC228" s="195"/>
      <c r="AD228" s="195"/>
      <c r="AE228" s="195"/>
      <c r="AF228" s="195"/>
      <c r="AG228" s="195"/>
      <c r="AH228" s="195"/>
      <c r="AI228" s="195"/>
      <c r="AJ228" s="195"/>
      <c r="AK228" s="195"/>
      <c r="AL228" s="195"/>
      <c r="AM228" s="195"/>
      <c r="AN228" s="195"/>
      <c r="AO228" s="195"/>
      <c r="AP228" s="195"/>
      <c r="AQ228" s="195"/>
      <c r="AR228" s="195"/>
      <c r="AS228" s="195"/>
      <c r="AT228" s="195"/>
      <c r="AU228" s="195"/>
      <c r="AV228" s="195"/>
      <c r="AW228" s="195"/>
      <c r="AX228" s="195"/>
      <c r="AY228" s="195"/>
      <c r="AZ228" s="195"/>
      <c r="BA228" s="195"/>
    </row>
    <row r="229" spans="1:53" x14ac:dyDescent="0.2">
      <c r="A229" s="189"/>
      <c r="B229" s="168"/>
      <c r="C229" s="168"/>
      <c r="D229" s="168"/>
      <c r="E229" s="168"/>
      <c r="F229" s="168"/>
      <c r="G229" s="168"/>
      <c r="H229" s="168"/>
      <c r="I229" s="168"/>
      <c r="J229" s="168"/>
      <c r="K229" s="168"/>
      <c r="L229" s="168"/>
      <c r="M229" s="168"/>
      <c r="N229" s="349" t="s">
        <v>129</v>
      </c>
      <c r="O229" s="350"/>
      <c r="P229" s="169"/>
      <c r="Q229" s="169"/>
      <c r="R229" s="169"/>
      <c r="S229" s="169"/>
      <c r="T229" s="169"/>
      <c r="U229" s="77">
        <f t="shared" si="31"/>
        <v>0</v>
      </c>
      <c r="V229" s="195"/>
      <c r="W229" s="195"/>
      <c r="X229" s="195"/>
      <c r="Y229" s="195"/>
      <c r="Z229" s="195"/>
      <c r="AA229" s="195"/>
      <c r="AB229" s="195"/>
      <c r="AC229" s="195"/>
      <c r="AD229" s="195"/>
      <c r="AE229" s="195"/>
      <c r="AF229" s="195"/>
      <c r="AG229" s="195"/>
      <c r="AH229" s="195"/>
      <c r="AI229" s="195"/>
      <c r="AJ229" s="195"/>
      <c r="AK229" s="195"/>
      <c r="AL229" s="195"/>
      <c r="AM229" s="195"/>
      <c r="AN229" s="195"/>
      <c r="AO229" s="195"/>
      <c r="AP229" s="195"/>
      <c r="AQ229" s="195"/>
      <c r="AR229" s="195"/>
      <c r="AS229" s="195"/>
      <c r="AT229" s="195"/>
      <c r="AU229" s="195"/>
      <c r="AV229" s="195"/>
      <c r="AW229" s="195"/>
      <c r="AX229" s="195"/>
      <c r="AY229" s="195"/>
      <c r="AZ229" s="195"/>
      <c r="BA229" s="195"/>
    </row>
    <row r="230" spans="1:53" x14ac:dyDescent="0.2">
      <c r="A230" s="189"/>
      <c r="B230" s="168"/>
      <c r="C230" s="168"/>
      <c r="D230" s="168"/>
      <c r="E230" s="168"/>
      <c r="F230" s="168"/>
      <c r="G230" s="168"/>
      <c r="H230" s="168"/>
      <c r="I230" s="168"/>
      <c r="J230" s="168"/>
      <c r="K230" s="168"/>
      <c r="L230" s="168"/>
      <c r="M230" s="168"/>
      <c r="N230" s="349" t="s">
        <v>129</v>
      </c>
      <c r="O230" s="350"/>
      <c r="P230" s="169"/>
      <c r="Q230" s="169"/>
      <c r="R230" s="169"/>
      <c r="S230" s="169"/>
      <c r="T230" s="169"/>
      <c r="U230" s="77">
        <f t="shared" si="31"/>
        <v>0</v>
      </c>
      <c r="V230" s="195"/>
      <c r="W230" s="195"/>
      <c r="X230" s="195"/>
      <c r="Y230" s="195"/>
      <c r="Z230" s="195"/>
      <c r="AA230" s="195"/>
      <c r="AB230" s="195"/>
      <c r="AC230" s="195"/>
      <c r="AD230" s="195"/>
      <c r="AE230" s="195"/>
      <c r="AF230" s="195"/>
      <c r="AG230" s="195"/>
      <c r="AH230" s="195"/>
      <c r="AI230" s="195"/>
      <c r="AJ230" s="195"/>
      <c r="AK230" s="195"/>
      <c r="AL230" s="195"/>
      <c r="AM230" s="195"/>
      <c r="AN230" s="195"/>
      <c r="AO230" s="195"/>
      <c r="AP230" s="195"/>
      <c r="AQ230" s="195"/>
      <c r="AR230" s="195"/>
      <c r="AS230" s="195"/>
      <c r="AT230" s="195"/>
      <c r="AU230" s="195"/>
      <c r="AV230" s="195"/>
      <c r="AW230" s="195"/>
      <c r="AX230" s="195"/>
      <c r="AY230" s="195"/>
      <c r="AZ230" s="195"/>
      <c r="BA230" s="195"/>
    </row>
    <row r="231" spans="1:53" x14ac:dyDescent="0.2">
      <c r="A231" s="189"/>
      <c r="B231" s="168"/>
      <c r="C231" s="168"/>
      <c r="D231" s="168"/>
      <c r="E231" s="168"/>
      <c r="F231" s="168"/>
      <c r="G231" s="168"/>
      <c r="H231" s="168"/>
      <c r="I231" s="168"/>
      <c r="J231" s="168"/>
      <c r="K231" s="168"/>
      <c r="L231" s="168"/>
      <c r="M231" s="168"/>
      <c r="N231" s="349" t="s">
        <v>129</v>
      </c>
      <c r="O231" s="350"/>
      <c r="P231" s="169"/>
      <c r="Q231" s="169"/>
      <c r="R231" s="169"/>
      <c r="S231" s="169"/>
      <c r="T231" s="169"/>
      <c r="U231" s="77">
        <f t="shared" si="31"/>
        <v>0</v>
      </c>
      <c r="V231" s="195"/>
      <c r="W231" s="195"/>
      <c r="X231" s="195"/>
      <c r="Y231" s="195"/>
      <c r="Z231" s="195"/>
      <c r="AA231" s="195"/>
      <c r="AB231" s="195"/>
      <c r="AC231" s="195"/>
      <c r="AD231" s="195"/>
      <c r="AE231" s="195"/>
      <c r="AF231" s="195"/>
      <c r="AG231" s="195"/>
      <c r="AH231" s="195"/>
      <c r="AI231" s="195"/>
      <c r="AJ231" s="195"/>
      <c r="AK231" s="195"/>
      <c r="AL231" s="195"/>
      <c r="AM231" s="195"/>
      <c r="AN231" s="195"/>
      <c r="AO231" s="195"/>
      <c r="AP231" s="195"/>
      <c r="AQ231" s="195"/>
      <c r="AR231" s="195"/>
      <c r="AS231" s="195"/>
      <c r="AT231" s="195"/>
      <c r="AU231" s="195"/>
      <c r="AV231" s="195"/>
      <c r="AW231" s="195"/>
      <c r="AX231" s="195"/>
      <c r="AY231" s="195"/>
      <c r="AZ231" s="195"/>
      <c r="BA231" s="195"/>
    </row>
    <row r="232" spans="1:53" x14ac:dyDescent="0.2">
      <c r="A232" s="189"/>
      <c r="B232" s="168"/>
      <c r="C232" s="168"/>
      <c r="D232" s="168"/>
      <c r="E232" s="168"/>
      <c r="F232" s="168"/>
      <c r="G232" s="168"/>
      <c r="H232" s="168"/>
      <c r="I232" s="168"/>
      <c r="J232" s="168"/>
      <c r="K232" s="168"/>
      <c r="L232" s="168"/>
      <c r="M232" s="168"/>
      <c r="N232" s="349" t="s">
        <v>129</v>
      </c>
      <c r="O232" s="350"/>
      <c r="P232" s="169"/>
      <c r="Q232" s="169"/>
      <c r="R232" s="169"/>
      <c r="S232" s="169"/>
      <c r="T232" s="169"/>
      <c r="U232" s="77">
        <f t="shared" si="31"/>
        <v>0</v>
      </c>
      <c r="V232" s="195"/>
      <c r="W232" s="195"/>
      <c r="X232" s="195"/>
      <c r="Y232" s="195"/>
      <c r="Z232" s="195"/>
      <c r="AA232" s="195"/>
      <c r="AB232" s="195"/>
      <c r="AC232" s="195"/>
      <c r="AD232" s="195"/>
      <c r="AE232" s="195"/>
      <c r="AF232" s="195"/>
      <c r="AG232" s="195"/>
      <c r="AH232" s="195"/>
      <c r="AI232" s="195"/>
      <c r="AJ232" s="195"/>
      <c r="AK232" s="195"/>
      <c r="AL232" s="195"/>
      <c r="AM232" s="195"/>
      <c r="AN232" s="195"/>
      <c r="AO232" s="195"/>
      <c r="AP232" s="195"/>
      <c r="AQ232" s="195"/>
      <c r="AR232" s="195"/>
      <c r="AS232" s="195"/>
      <c r="AT232" s="195"/>
      <c r="AU232" s="195"/>
      <c r="AV232" s="195"/>
      <c r="AW232" s="195"/>
      <c r="AX232" s="195"/>
      <c r="AY232" s="195"/>
      <c r="AZ232" s="195"/>
      <c r="BA232" s="195"/>
    </row>
    <row r="233" spans="1:53" x14ac:dyDescent="0.2">
      <c r="A233" s="189"/>
      <c r="B233" s="168"/>
      <c r="C233" s="168"/>
      <c r="D233" s="168"/>
      <c r="E233" s="168"/>
      <c r="F233" s="168"/>
      <c r="G233" s="168"/>
      <c r="H233" s="168"/>
      <c r="I233" s="168"/>
      <c r="J233" s="168"/>
      <c r="K233" s="168"/>
      <c r="L233" s="168"/>
      <c r="M233" s="168"/>
      <c r="N233" s="349" t="s">
        <v>129</v>
      </c>
      <c r="O233" s="350"/>
      <c r="P233" s="169"/>
      <c r="Q233" s="169"/>
      <c r="R233" s="169"/>
      <c r="S233" s="169"/>
      <c r="T233" s="169"/>
      <c r="U233" s="77">
        <f t="shared" si="31"/>
        <v>0</v>
      </c>
      <c r="V233" s="195"/>
      <c r="W233" s="195"/>
      <c r="X233" s="195"/>
      <c r="Y233" s="195"/>
      <c r="Z233" s="195"/>
      <c r="AA233" s="195"/>
      <c r="AB233" s="195"/>
      <c r="AC233" s="195"/>
      <c r="AD233" s="195"/>
      <c r="AE233" s="195"/>
      <c r="AF233" s="195"/>
      <c r="AG233" s="195"/>
      <c r="AH233" s="195"/>
      <c r="AI233" s="195"/>
      <c r="AJ233" s="195"/>
      <c r="AK233" s="195"/>
      <c r="AL233" s="195"/>
      <c r="AM233" s="195"/>
      <c r="AN233" s="195"/>
      <c r="AO233" s="195"/>
      <c r="AP233" s="195"/>
      <c r="AQ233" s="195"/>
      <c r="AR233" s="195"/>
      <c r="AS233" s="195"/>
      <c r="AT233" s="195"/>
      <c r="AU233" s="195"/>
      <c r="AV233" s="195"/>
      <c r="AW233" s="195"/>
      <c r="AX233" s="195"/>
      <c r="AY233" s="195"/>
      <c r="AZ233" s="195"/>
      <c r="BA233" s="195"/>
    </row>
    <row r="234" spans="1:53" x14ac:dyDescent="0.2">
      <c r="A234" s="189"/>
      <c r="B234" s="168"/>
      <c r="C234" s="168"/>
      <c r="D234" s="168"/>
      <c r="E234" s="168"/>
      <c r="F234" s="168"/>
      <c r="G234" s="168"/>
      <c r="H234" s="168"/>
      <c r="I234" s="168"/>
      <c r="J234" s="168"/>
      <c r="K234" s="168"/>
      <c r="L234" s="168"/>
      <c r="M234" s="168"/>
      <c r="N234" s="349" t="s">
        <v>129</v>
      </c>
      <c r="O234" s="350"/>
      <c r="P234" s="169"/>
      <c r="Q234" s="169"/>
      <c r="R234" s="169"/>
      <c r="S234" s="169"/>
      <c r="T234" s="169"/>
      <c r="U234" s="77">
        <f t="shared" si="31"/>
        <v>0</v>
      </c>
      <c r="V234" s="195"/>
      <c r="W234" s="195"/>
      <c r="X234" s="195"/>
      <c r="Y234" s="195"/>
      <c r="Z234" s="195"/>
      <c r="AA234" s="195"/>
      <c r="AB234" s="195"/>
      <c r="AC234" s="195"/>
      <c r="AD234" s="195"/>
      <c r="AE234" s="195"/>
      <c r="AF234" s="195"/>
      <c r="AG234" s="195"/>
      <c r="AH234" s="195"/>
      <c r="AI234" s="195"/>
      <c r="AJ234" s="195"/>
      <c r="AK234" s="195"/>
      <c r="AL234" s="195"/>
      <c r="AM234" s="195"/>
      <c r="AN234" s="195"/>
      <c r="AO234" s="195"/>
      <c r="AP234" s="195"/>
      <c r="AQ234" s="195"/>
      <c r="AR234" s="195"/>
      <c r="AS234" s="195"/>
      <c r="AT234" s="195"/>
      <c r="AU234" s="195"/>
      <c r="AV234" s="195"/>
      <c r="AW234" s="195"/>
      <c r="AX234" s="195"/>
      <c r="AY234" s="195"/>
      <c r="AZ234" s="195"/>
      <c r="BA234" s="195"/>
    </row>
    <row r="235" spans="1:53" hidden="1" x14ac:dyDescent="0.2">
      <c r="A235" s="189"/>
      <c r="B235" s="168"/>
      <c r="C235" s="168"/>
      <c r="D235" s="168"/>
      <c r="E235" s="168"/>
      <c r="F235" s="168"/>
      <c r="G235" s="168"/>
      <c r="H235" s="168"/>
      <c r="I235" s="168"/>
      <c r="J235" s="168"/>
      <c r="K235" s="168"/>
      <c r="L235" s="168"/>
      <c r="M235" s="168"/>
      <c r="N235" s="349" t="s">
        <v>129</v>
      </c>
      <c r="O235" s="350"/>
      <c r="P235" s="169"/>
      <c r="Q235" s="169"/>
      <c r="R235" s="169"/>
      <c r="S235" s="169"/>
      <c r="T235" s="169"/>
      <c r="U235" s="77">
        <f t="shared" si="31"/>
        <v>0</v>
      </c>
      <c r="V235" s="195"/>
      <c r="W235" s="195"/>
      <c r="X235" s="195"/>
      <c r="Y235" s="195"/>
      <c r="Z235" s="195"/>
      <c r="AA235" s="195"/>
      <c r="AB235" s="195"/>
      <c r="AC235" s="195"/>
      <c r="AD235" s="195"/>
      <c r="AE235" s="195"/>
      <c r="AF235" s="195"/>
      <c r="AG235" s="195"/>
      <c r="AH235" s="195"/>
      <c r="AI235" s="195"/>
      <c r="AJ235" s="195"/>
      <c r="AK235" s="195"/>
      <c r="AL235" s="195"/>
      <c r="AM235" s="195"/>
      <c r="AN235" s="195"/>
      <c r="AO235" s="195"/>
      <c r="AP235" s="195"/>
      <c r="AQ235" s="195"/>
      <c r="AR235" s="195"/>
      <c r="AS235" s="195"/>
      <c r="AT235" s="195"/>
      <c r="AU235" s="195"/>
      <c r="AV235" s="195"/>
      <c r="AW235" s="195"/>
      <c r="AX235" s="195"/>
      <c r="AY235" s="195"/>
      <c r="AZ235" s="195"/>
      <c r="BA235" s="195"/>
    </row>
    <row r="236" spans="1:53" hidden="1" x14ac:dyDescent="0.2">
      <c r="A236" s="189"/>
      <c r="B236" s="168"/>
      <c r="C236" s="168"/>
      <c r="D236" s="168"/>
      <c r="E236" s="168"/>
      <c r="F236" s="168"/>
      <c r="G236" s="168"/>
      <c r="H236" s="168"/>
      <c r="I236" s="168"/>
      <c r="J236" s="168"/>
      <c r="K236" s="168"/>
      <c r="L236" s="168"/>
      <c r="M236" s="168"/>
      <c r="N236" s="349" t="s">
        <v>129</v>
      </c>
      <c r="O236" s="350"/>
      <c r="P236" s="169"/>
      <c r="Q236" s="169"/>
      <c r="R236" s="169"/>
      <c r="S236" s="169"/>
      <c r="T236" s="169"/>
      <c r="U236" s="77">
        <f t="shared" si="31"/>
        <v>0</v>
      </c>
      <c r="V236" s="195"/>
      <c r="W236" s="195"/>
      <c r="X236" s="195"/>
      <c r="Y236" s="195"/>
      <c r="Z236" s="195"/>
      <c r="AA236" s="195"/>
      <c r="AB236" s="195"/>
      <c r="AC236" s="195"/>
      <c r="AD236" s="195"/>
      <c r="AE236" s="195"/>
      <c r="AF236" s="195"/>
      <c r="AG236" s="195"/>
      <c r="AH236" s="195"/>
      <c r="AI236" s="195"/>
      <c r="AJ236" s="195"/>
      <c r="AK236" s="195"/>
      <c r="AL236" s="195"/>
      <c r="AM236" s="195"/>
      <c r="AN236" s="195"/>
      <c r="AO236" s="195"/>
      <c r="AP236" s="195"/>
      <c r="AQ236" s="195"/>
      <c r="AR236" s="195"/>
      <c r="AS236" s="195"/>
      <c r="AT236" s="195"/>
      <c r="AU236" s="195"/>
      <c r="AV236" s="195"/>
      <c r="AW236" s="195"/>
      <c r="AX236" s="195"/>
      <c r="AY236" s="195"/>
      <c r="AZ236" s="195"/>
      <c r="BA236" s="195"/>
    </row>
    <row r="237" spans="1:53" hidden="1" x14ac:dyDescent="0.2">
      <c r="A237" s="189"/>
      <c r="B237" s="168"/>
      <c r="C237" s="168"/>
      <c r="D237" s="168"/>
      <c r="E237" s="168"/>
      <c r="F237" s="168"/>
      <c r="G237" s="168"/>
      <c r="H237" s="168"/>
      <c r="I237" s="168"/>
      <c r="J237" s="168"/>
      <c r="K237" s="168"/>
      <c r="L237" s="168"/>
      <c r="M237" s="168"/>
      <c r="N237" s="349" t="s">
        <v>129</v>
      </c>
      <c r="O237" s="350"/>
      <c r="P237" s="169"/>
      <c r="Q237" s="169"/>
      <c r="R237" s="169"/>
      <c r="S237" s="169"/>
      <c r="T237" s="169"/>
      <c r="U237" s="77">
        <f t="shared" si="31"/>
        <v>0</v>
      </c>
      <c r="V237" s="195"/>
      <c r="W237" s="195"/>
      <c r="X237" s="195"/>
      <c r="Y237" s="195"/>
      <c r="Z237" s="195"/>
      <c r="AA237" s="195"/>
      <c r="AB237" s="195"/>
      <c r="AC237" s="195"/>
      <c r="AD237" s="195"/>
      <c r="AE237" s="195"/>
      <c r="AF237" s="195"/>
      <c r="AG237" s="195"/>
      <c r="AH237" s="195"/>
      <c r="AI237" s="195"/>
      <c r="AJ237" s="195"/>
      <c r="AK237" s="195"/>
      <c r="AL237" s="195"/>
      <c r="AM237" s="195"/>
      <c r="AN237" s="195"/>
      <c r="AO237" s="195"/>
      <c r="AP237" s="195"/>
      <c r="AQ237" s="195"/>
      <c r="AR237" s="195"/>
      <c r="AS237" s="195"/>
      <c r="AT237" s="195"/>
      <c r="AU237" s="195"/>
      <c r="AV237" s="195"/>
      <c r="AW237" s="195"/>
      <c r="AX237" s="195"/>
      <c r="AY237" s="195"/>
      <c r="AZ237" s="195"/>
      <c r="BA237" s="195"/>
    </row>
    <row r="238" spans="1:53" hidden="1" x14ac:dyDescent="0.2">
      <c r="A238" s="189"/>
      <c r="B238" s="168"/>
      <c r="C238" s="168"/>
      <c r="D238" s="168"/>
      <c r="E238" s="168"/>
      <c r="F238" s="168"/>
      <c r="G238" s="168"/>
      <c r="H238" s="168"/>
      <c r="I238" s="168"/>
      <c r="J238" s="168"/>
      <c r="K238" s="168"/>
      <c r="L238" s="168"/>
      <c r="M238" s="168"/>
      <c r="N238" s="349" t="s">
        <v>129</v>
      </c>
      <c r="O238" s="350"/>
      <c r="P238" s="169"/>
      <c r="Q238" s="169"/>
      <c r="R238" s="169"/>
      <c r="S238" s="169"/>
      <c r="T238" s="169"/>
      <c r="U238" s="77">
        <f t="shared" si="31"/>
        <v>0</v>
      </c>
      <c r="V238" s="195"/>
      <c r="W238" s="195"/>
      <c r="X238" s="195"/>
      <c r="Y238" s="195"/>
      <c r="Z238" s="195"/>
      <c r="AA238" s="195"/>
      <c r="AB238" s="195"/>
      <c r="AC238" s="195"/>
      <c r="AD238" s="195"/>
      <c r="AE238" s="195"/>
      <c r="AF238" s="195"/>
      <c r="AG238" s="195"/>
      <c r="AH238" s="195"/>
      <c r="AI238" s="195"/>
      <c r="AJ238" s="195"/>
      <c r="AK238" s="195"/>
      <c r="AL238" s="195"/>
      <c r="AM238" s="195"/>
      <c r="AN238" s="195"/>
      <c r="AO238" s="195"/>
      <c r="AP238" s="195"/>
      <c r="AQ238" s="195"/>
      <c r="AR238" s="195"/>
      <c r="AS238" s="195"/>
      <c r="AT238" s="195"/>
      <c r="AU238" s="195"/>
      <c r="AV238" s="195"/>
      <c r="AW238" s="195"/>
      <c r="AX238" s="195"/>
      <c r="AY238" s="195"/>
      <c r="AZ238" s="195"/>
      <c r="BA238" s="195"/>
    </row>
    <row r="239" spans="1:53" hidden="1" x14ac:dyDescent="0.2">
      <c r="A239" s="189"/>
      <c r="B239" s="168"/>
      <c r="C239" s="168"/>
      <c r="D239" s="168"/>
      <c r="E239" s="168"/>
      <c r="F239" s="168"/>
      <c r="G239" s="168"/>
      <c r="H239" s="168"/>
      <c r="I239" s="168"/>
      <c r="J239" s="168"/>
      <c r="K239" s="168"/>
      <c r="L239" s="168"/>
      <c r="M239" s="168"/>
      <c r="N239" s="349" t="s">
        <v>129</v>
      </c>
      <c r="O239" s="350"/>
      <c r="P239" s="169"/>
      <c r="Q239" s="169"/>
      <c r="R239" s="169"/>
      <c r="S239" s="169"/>
      <c r="T239" s="169"/>
      <c r="U239" s="77">
        <f t="shared" si="31"/>
        <v>0</v>
      </c>
      <c r="V239" s="195"/>
      <c r="W239" s="195"/>
      <c r="X239" s="195"/>
      <c r="Y239" s="195"/>
      <c r="Z239" s="195"/>
      <c r="AA239" s="195"/>
      <c r="AB239" s="195"/>
      <c r="AC239" s="195"/>
      <c r="AD239" s="195"/>
      <c r="AE239" s="195"/>
      <c r="AF239" s="195"/>
      <c r="AG239" s="195"/>
      <c r="AH239" s="195"/>
      <c r="AI239" s="195"/>
      <c r="AJ239" s="195"/>
      <c r="AK239" s="195"/>
      <c r="AL239" s="195"/>
      <c r="AM239" s="195"/>
      <c r="AN239" s="195"/>
      <c r="AO239" s="195"/>
      <c r="AP239" s="195"/>
      <c r="AQ239" s="195"/>
      <c r="AR239" s="195"/>
      <c r="AS239" s="195"/>
      <c r="AT239" s="195"/>
      <c r="AU239" s="195"/>
      <c r="AV239" s="195"/>
      <c r="AW239" s="195"/>
      <c r="AX239" s="195"/>
      <c r="AY239" s="195"/>
      <c r="AZ239" s="195"/>
      <c r="BA239" s="195"/>
    </row>
    <row r="240" spans="1:53" hidden="1" x14ac:dyDescent="0.2">
      <c r="A240" s="189"/>
      <c r="B240" s="168"/>
      <c r="C240" s="168"/>
      <c r="D240" s="168"/>
      <c r="E240" s="168"/>
      <c r="F240" s="168"/>
      <c r="G240" s="168"/>
      <c r="H240" s="168"/>
      <c r="I240" s="168"/>
      <c r="J240" s="168"/>
      <c r="K240" s="168"/>
      <c r="L240" s="168"/>
      <c r="M240" s="168"/>
      <c r="N240" s="349" t="s">
        <v>129</v>
      </c>
      <c r="O240" s="350"/>
      <c r="P240" s="169"/>
      <c r="Q240" s="169"/>
      <c r="R240" s="169"/>
      <c r="S240" s="169"/>
      <c r="T240" s="169"/>
      <c r="U240" s="77">
        <f t="shared" si="31"/>
        <v>0</v>
      </c>
      <c r="V240" s="195"/>
      <c r="W240" s="195"/>
      <c r="X240" s="195"/>
      <c r="Y240" s="195"/>
      <c r="Z240" s="195"/>
      <c r="AA240" s="195"/>
      <c r="AB240" s="195"/>
      <c r="AC240" s="195"/>
      <c r="AD240" s="195"/>
      <c r="AE240" s="195"/>
      <c r="AF240" s="195"/>
      <c r="AG240" s="195"/>
      <c r="AH240" s="195"/>
      <c r="AI240" s="195"/>
      <c r="AJ240" s="195"/>
      <c r="AK240" s="195"/>
      <c r="AL240" s="195"/>
      <c r="AM240" s="195"/>
      <c r="AN240" s="195"/>
      <c r="AO240" s="195"/>
      <c r="AP240" s="195"/>
      <c r="AQ240" s="195"/>
      <c r="AR240" s="195"/>
      <c r="AS240" s="195"/>
      <c r="AT240" s="195"/>
      <c r="AU240" s="195"/>
      <c r="AV240" s="195"/>
      <c r="AW240" s="195"/>
      <c r="AX240" s="195"/>
      <c r="AY240" s="195"/>
      <c r="AZ240" s="195"/>
      <c r="BA240" s="195"/>
    </row>
    <row r="241" spans="1:53" hidden="1" x14ac:dyDescent="0.2">
      <c r="A241" s="189"/>
      <c r="B241" s="168"/>
      <c r="C241" s="168"/>
      <c r="D241" s="168"/>
      <c r="E241" s="168"/>
      <c r="F241" s="168"/>
      <c r="G241" s="168"/>
      <c r="H241" s="168"/>
      <c r="I241" s="168"/>
      <c r="J241" s="168"/>
      <c r="K241" s="168"/>
      <c r="L241" s="168"/>
      <c r="M241" s="168"/>
      <c r="N241" s="349" t="s">
        <v>129</v>
      </c>
      <c r="O241" s="350"/>
      <c r="P241" s="169"/>
      <c r="Q241" s="169"/>
      <c r="R241" s="169"/>
      <c r="S241" s="169"/>
      <c r="T241" s="169"/>
      <c r="U241" s="77">
        <f t="shared" si="31"/>
        <v>0</v>
      </c>
      <c r="V241" s="195"/>
      <c r="W241" s="195"/>
      <c r="X241" s="195"/>
      <c r="Y241" s="195"/>
      <c r="Z241" s="195"/>
      <c r="AA241" s="195"/>
      <c r="AB241" s="195"/>
      <c r="AC241" s="195"/>
      <c r="AD241" s="195"/>
      <c r="AE241" s="195"/>
      <c r="AF241" s="195"/>
      <c r="AG241" s="195"/>
      <c r="AH241" s="195"/>
      <c r="AI241" s="195"/>
      <c r="AJ241" s="195"/>
      <c r="AK241" s="195"/>
      <c r="AL241" s="195"/>
      <c r="AM241" s="195"/>
      <c r="AN241" s="195"/>
      <c r="AO241" s="195"/>
      <c r="AP241" s="195"/>
      <c r="AQ241" s="195"/>
      <c r="AR241" s="195"/>
      <c r="AS241" s="195"/>
      <c r="AT241" s="195"/>
      <c r="AU241" s="195"/>
      <c r="AV241" s="195"/>
      <c r="AW241" s="195"/>
      <c r="AX241" s="195"/>
      <c r="AY241" s="195"/>
      <c r="AZ241" s="195"/>
      <c r="BA241" s="195"/>
    </row>
    <row r="242" spans="1:53" hidden="1" x14ac:dyDescent="0.2">
      <c r="A242" s="189"/>
      <c r="B242" s="168"/>
      <c r="C242" s="168"/>
      <c r="D242" s="168"/>
      <c r="E242" s="168"/>
      <c r="F242" s="168"/>
      <c r="G242" s="168"/>
      <c r="H242" s="168"/>
      <c r="I242" s="168"/>
      <c r="J242" s="168"/>
      <c r="K242" s="168"/>
      <c r="L242" s="168"/>
      <c r="M242" s="168"/>
      <c r="N242" s="349" t="s">
        <v>129</v>
      </c>
      <c r="O242" s="350"/>
      <c r="P242" s="169"/>
      <c r="Q242" s="169"/>
      <c r="R242" s="169"/>
      <c r="S242" s="169"/>
      <c r="T242" s="169"/>
      <c r="U242" s="77">
        <f t="shared" si="31"/>
        <v>0</v>
      </c>
      <c r="V242" s="195"/>
      <c r="W242" s="195"/>
      <c r="X242" s="195"/>
      <c r="Y242" s="195"/>
      <c r="Z242" s="195"/>
      <c r="AA242" s="195"/>
      <c r="AB242" s="195"/>
      <c r="AC242" s="195"/>
      <c r="AD242" s="195"/>
      <c r="AE242" s="195"/>
      <c r="AF242" s="195"/>
      <c r="AG242" s="195"/>
      <c r="AH242" s="195"/>
      <c r="AI242" s="195"/>
      <c r="AJ242" s="195"/>
      <c r="AK242" s="195"/>
      <c r="AL242" s="195"/>
      <c r="AM242" s="195"/>
      <c r="AN242" s="195"/>
      <c r="AO242" s="195"/>
      <c r="AP242" s="195"/>
      <c r="AQ242" s="195"/>
      <c r="AR242" s="195"/>
      <c r="AS242" s="195"/>
      <c r="AT242" s="195"/>
      <c r="AU242" s="195"/>
      <c r="AV242" s="195"/>
      <c r="AW242" s="195"/>
      <c r="AX242" s="195"/>
      <c r="AY242" s="195"/>
      <c r="AZ242" s="195"/>
      <c r="BA242" s="195"/>
    </row>
    <row r="243" spans="1:53" hidden="1" x14ac:dyDescent="0.2">
      <c r="A243" s="189"/>
      <c r="B243" s="191"/>
      <c r="C243" s="191"/>
      <c r="D243" s="191"/>
      <c r="E243" s="191"/>
      <c r="F243" s="191"/>
      <c r="G243" s="191"/>
      <c r="H243" s="191"/>
      <c r="I243" s="191"/>
      <c r="J243" s="191"/>
      <c r="K243" s="191"/>
      <c r="L243" s="191"/>
      <c r="M243" s="191"/>
      <c r="N243" s="349" t="s">
        <v>129</v>
      </c>
      <c r="O243" s="350"/>
      <c r="P243" s="169"/>
      <c r="Q243" s="169"/>
      <c r="R243" s="169"/>
      <c r="S243" s="169"/>
      <c r="T243" s="169"/>
      <c r="U243" s="77">
        <f t="shared" si="31"/>
        <v>0</v>
      </c>
      <c r="V243" s="195"/>
      <c r="W243" s="195"/>
      <c r="X243" s="195"/>
      <c r="Y243" s="195"/>
      <c r="Z243" s="195"/>
      <c r="AA243" s="195"/>
      <c r="AB243" s="195"/>
      <c r="AC243" s="195"/>
      <c r="AD243" s="195"/>
      <c r="AE243" s="195"/>
      <c r="AF243" s="195"/>
      <c r="AG243" s="195"/>
      <c r="AH243" s="195"/>
      <c r="AI243" s="195"/>
      <c r="AJ243" s="195"/>
      <c r="AK243" s="195"/>
      <c r="AL243" s="195"/>
      <c r="AM243" s="195"/>
      <c r="AN243" s="195"/>
      <c r="AO243" s="195"/>
      <c r="AP243" s="195"/>
      <c r="AQ243" s="195"/>
      <c r="AR243" s="195"/>
      <c r="AS243" s="195"/>
      <c r="AT243" s="195"/>
      <c r="AU243" s="195"/>
      <c r="AV243" s="195"/>
      <c r="AW243" s="195"/>
      <c r="AX243" s="195"/>
      <c r="AY243" s="195"/>
      <c r="AZ243" s="195"/>
      <c r="BA243" s="195"/>
    </row>
    <row r="244" spans="1:53" x14ac:dyDescent="0.2">
      <c r="A244" s="418" t="s">
        <v>214</v>
      </c>
      <c r="B244" s="419"/>
      <c r="C244" s="419"/>
      <c r="D244" s="419"/>
      <c r="E244" s="419"/>
      <c r="F244" s="419"/>
      <c r="G244" s="419"/>
      <c r="H244" s="419"/>
      <c r="I244" s="419"/>
      <c r="J244" s="419"/>
      <c r="K244" s="419"/>
      <c r="L244" s="419"/>
      <c r="M244" s="419"/>
      <c r="N244" s="419"/>
      <c r="O244" s="420"/>
      <c r="P244" s="124">
        <f ca="1">SUMIF($N227:$O243,"Yes",P227:P243)</f>
        <v>0</v>
      </c>
      <c r="Q244" s="124">
        <f t="shared" ref="Q244:U244" ca="1" si="32">SUMIF($N227:$O243,"Yes",Q227:Q243)</f>
        <v>0</v>
      </c>
      <c r="R244" s="124">
        <f t="shared" ca="1" si="32"/>
        <v>0</v>
      </c>
      <c r="S244" s="124">
        <f t="shared" ca="1" si="32"/>
        <v>0</v>
      </c>
      <c r="T244" s="124">
        <f t="shared" ca="1" si="32"/>
        <v>0</v>
      </c>
      <c r="U244" s="124">
        <f t="shared" ca="1" si="32"/>
        <v>0</v>
      </c>
      <c r="V244" s="206"/>
      <c r="W244" s="195"/>
      <c r="X244" s="195"/>
      <c r="Y244" s="195"/>
      <c r="Z244" s="195"/>
      <c r="AA244" s="195"/>
      <c r="AB244" s="195"/>
      <c r="AC244" s="195"/>
      <c r="AD244" s="195"/>
      <c r="AE244" s="195"/>
      <c r="AF244" s="195"/>
      <c r="AG244" s="195"/>
      <c r="AH244" s="195"/>
      <c r="AI244" s="195"/>
      <c r="AJ244" s="195"/>
      <c r="AK244" s="195"/>
      <c r="AL244" s="195"/>
      <c r="AM244" s="195"/>
      <c r="AN244" s="195"/>
      <c r="AO244" s="195"/>
      <c r="AP244" s="195"/>
      <c r="AQ244" s="195"/>
      <c r="AR244" s="195"/>
      <c r="AS244" s="195"/>
      <c r="AT244" s="195"/>
      <c r="AU244" s="195"/>
      <c r="AV244" s="195"/>
      <c r="AW244" s="195"/>
      <c r="AX244" s="195"/>
      <c r="AY244" s="195"/>
      <c r="AZ244" s="195"/>
      <c r="BA244" s="195"/>
    </row>
    <row r="245" spans="1:53" x14ac:dyDescent="0.2">
      <c r="A245" s="415" t="s">
        <v>220</v>
      </c>
      <c r="B245" s="416"/>
      <c r="C245" s="416"/>
      <c r="D245" s="416"/>
      <c r="E245" s="416"/>
      <c r="F245" s="416"/>
      <c r="G245" s="416"/>
      <c r="H245" s="416"/>
      <c r="I245" s="416"/>
      <c r="J245" s="416"/>
      <c r="K245" s="416"/>
      <c r="L245" s="416"/>
      <c r="M245" s="416"/>
      <c r="N245" s="416"/>
      <c r="O245" s="417"/>
      <c r="P245" s="125">
        <f t="shared" ref="P245:U245" ca="1" si="33">SUMIF($N227:$O243,"No",P227:P243)</f>
        <v>0</v>
      </c>
      <c r="Q245" s="125">
        <f t="shared" ca="1" si="33"/>
        <v>0</v>
      </c>
      <c r="R245" s="125">
        <f t="shared" ca="1" si="33"/>
        <v>0</v>
      </c>
      <c r="S245" s="125">
        <f t="shared" ca="1" si="33"/>
        <v>0</v>
      </c>
      <c r="T245" s="125">
        <f t="shared" ca="1" si="33"/>
        <v>0</v>
      </c>
      <c r="U245" s="125">
        <f t="shared" ca="1" si="33"/>
        <v>0</v>
      </c>
      <c r="V245" s="195"/>
      <c r="W245" s="195"/>
      <c r="X245" s="195"/>
      <c r="Y245" s="195"/>
      <c r="Z245" s="195"/>
      <c r="AA245" s="195"/>
      <c r="AB245" s="195"/>
      <c r="AC245" s="195"/>
      <c r="AD245" s="195"/>
      <c r="AE245" s="195"/>
      <c r="AF245" s="195"/>
      <c r="AG245" s="195"/>
      <c r="AH245" s="195"/>
      <c r="AI245" s="195"/>
      <c r="AJ245" s="195"/>
      <c r="AK245" s="195"/>
      <c r="AL245" s="195"/>
      <c r="AM245" s="195"/>
      <c r="AN245" s="195"/>
      <c r="AO245" s="195"/>
      <c r="AP245" s="195"/>
      <c r="AQ245" s="195"/>
      <c r="AR245" s="195"/>
      <c r="AS245" s="195"/>
      <c r="AT245" s="195"/>
      <c r="AU245" s="195"/>
      <c r="AV245" s="195"/>
      <c r="AW245" s="195"/>
      <c r="AX245" s="195"/>
      <c r="AY245" s="195"/>
      <c r="AZ245" s="195"/>
      <c r="BA245" s="195"/>
    </row>
    <row r="246" spans="1:53" x14ac:dyDescent="0.2">
      <c r="A246" s="79" t="s">
        <v>61</v>
      </c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9"/>
      <c r="P246" s="237">
        <f t="shared" ref="P246:U246" ca="1" si="34">SUM(P227:P243)+SUM(P189:P200)+SUM(P217:P225)+SUM(P203:P215)+P140+P153+P183+P133</f>
        <v>0</v>
      </c>
      <c r="Q246" s="237">
        <f t="shared" ca="1" si="34"/>
        <v>0</v>
      </c>
      <c r="R246" s="237">
        <f t="shared" ca="1" si="34"/>
        <v>0</v>
      </c>
      <c r="S246" s="237">
        <f t="shared" ca="1" si="34"/>
        <v>0</v>
      </c>
      <c r="T246" s="237">
        <f t="shared" ca="1" si="34"/>
        <v>0</v>
      </c>
      <c r="U246" s="237">
        <f t="shared" ca="1" si="34"/>
        <v>0</v>
      </c>
      <c r="V246" s="195"/>
      <c r="W246" s="195"/>
      <c r="X246" s="195"/>
      <c r="Y246" s="195"/>
      <c r="Z246" s="195"/>
      <c r="AA246" s="195"/>
      <c r="AB246" s="195"/>
      <c r="AC246" s="195"/>
      <c r="AD246" s="195"/>
      <c r="AE246" s="195"/>
      <c r="AF246" s="195"/>
      <c r="AG246" s="195"/>
      <c r="AH246" s="195"/>
      <c r="AI246" s="195"/>
      <c r="AJ246" s="195"/>
      <c r="AK246" s="195"/>
      <c r="AL246" s="195"/>
      <c r="AM246" s="195"/>
      <c r="AN246" s="195"/>
      <c r="AO246" s="195"/>
      <c r="AP246" s="195"/>
      <c r="AQ246" s="195"/>
      <c r="AR246" s="195"/>
      <c r="AS246" s="195"/>
      <c r="AT246" s="195"/>
      <c r="AU246" s="195"/>
      <c r="AV246" s="195"/>
      <c r="AW246" s="195"/>
      <c r="AX246" s="195"/>
      <c r="AY246" s="195"/>
      <c r="AZ246" s="195"/>
      <c r="BA246" s="195"/>
    </row>
    <row r="247" spans="1:53" ht="15.75" customHeight="1" x14ac:dyDescent="0.2">
      <c r="A247" s="421" t="s">
        <v>161</v>
      </c>
      <c r="B247" s="422"/>
      <c r="C247" s="422"/>
      <c r="D247" s="422"/>
      <c r="E247" s="422"/>
      <c r="F247" s="422"/>
      <c r="G247" s="422"/>
      <c r="H247" s="422"/>
      <c r="I247" s="422"/>
      <c r="J247" s="422"/>
      <c r="K247" s="422"/>
      <c r="L247" s="422"/>
      <c r="M247" s="422"/>
      <c r="N247" s="422"/>
      <c r="O247" s="423"/>
      <c r="P247" s="110">
        <f ca="1">P248-P184</f>
        <v>42295</v>
      </c>
      <c r="Q247" s="110">
        <f t="shared" ref="Q247:T247" ca="1" si="35">Q248-Q184</f>
        <v>43910</v>
      </c>
      <c r="R247" s="110">
        <f t="shared" ca="1" si="35"/>
        <v>45585</v>
      </c>
      <c r="S247" s="110">
        <f t="shared" ca="1" si="35"/>
        <v>0</v>
      </c>
      <c r="T247" s="110">
        <f t="shared" ca="1" si="35"/>
        <v>0</v>
      </c>
      <c r="U247" s="110">
        <f ca="1">SUM(P247:T247)</f>
        <v>131790</v>
      </c>
      <c r="V247" s="195"/>
      <c r="W247" s="195"/>
      <c r="X247" s="195"/>
      <c r="Y247" s="195"/>
      <c r="Z247" s="195"/>
      <c r="AA247" s="195"/>
      <c r="AB247" s="195"/>
      <c r="AC247" s="195"/>
      <c r="AD247" s="195"/>
      <c r="AE247" s="195"/>
      <c r="AF247" s="195"/>
      <c r="AG247" s="195"/>
      <c r="AH247" s="195"/>
      <c r="AI247" s="195"/>
      <c r="AJ247" s="195"/>
      <c r="AK247" s="195"/>
      <c r="AL247" s="195"/>
      <c r="AM247" s="195"/>
      <c r="AN247" s="195"/>
      <c r="AO247" s="195"/>
      <c r="AP247" s="195"/>
      <c r="AQ247" s="195"/>
      <c r="AR247" s="195"/>
      <c r="AS247" s="195"/>
      <c r="AT247" s="195"/>
      <c r="AU247" s="195"/>
      <c r="AV247" s="195"/>
      <c r="AW247" s="195"/>
      <c r="AX247" s="195"/>
      <c r="AY247" s="195"/>
      <c r="AZ247" s="195"/>
      <c r="BA247" s="195"/>
    </row>
    <row r="248" spans="1:53" x14ac:dyDescent="0.2">
      <c r="A248" s="131" t="s">
        <v>62</v>
      </c>
      <c r="B248" s="132"/>
      <c r="C248" s="132"/>
      <c r="D248" s="248"/>
      <c r="E248" s="248"/>
      <c r="F248" s="248"/>
      <c r="G248" s="249" t="s">
        <v>229</v>
      </c>
      <c r="H248" s="249"/>
      <c r="I248" s="249"/>
      <c r="J248" s="248"/>
      <c r="K248" s="132"/>
      <c r="L248" s="132"/>
      <c r="M248" s="132"/>
      <c r="N248" s="132"/>
      <c r="O248" s="133"/>
      <c r="P248" s="192">
        <f ca="1">P61+P73+P86+P246+P95</f>
        <v>42295</v>
      </c>
      <c r="Q248" s="192">
        <f ca="1">IF(Q2="0 Months",0,Q61+Q73+Q86+Q246+Q95)</f>
        <v>43910</v>
      </c>
      <c r="R248" s="192">
        <f ca="1">IF(R2="0 Months",0,R61+R73+R86+R246+R95)</f>
        <v>45585</v>
      </c>
      <c r="S248" s="192">
        <f ca="1">IF(S2="0 Months",0,S61+S73+S86+S246+S95)</f>
        <v>0</v>
      </c>
      <c r="T248" s="192">
        <f ca="1">IF(T2="0 Months",0,T61+T73+T86+T246+T95)</f>
        <v>0</v>
      </c>
      <c r="U248" s="192">
        <f ca="1">SUM(P248:T248)</f>
        <v>131790</v>
      </c>
      <c r="V248" s="207"/>
      <c r="W248" s="195"/>
      <c r="X248" s="195"/>
      <c r="Y248" s="195"/>
      <c r="Z248" s="195"/>
      <c r="AA248" s="195"/>
      <c r="AB248" s="195"/>
      <c r="AC248" s="195"/>
      <c r="AD248" s="195"/>
      <c r="AE248" s="195"/>
      <c r="AF248" s="195"/>
      <c r="AG248" s="195"/>
      <c r="AH248" s="195"/>
      <c r="AI248" s="195"/>
      <c r="AJ248" s="195"/>
      <c r="AK248" s="195"/>
      <c r="AL248" s="195"/>
      <c r="AM248" s="195"/>
      <c r="AN248" s="195"/>
      <c r="AO248" s="195"/>
      <c r="AP248" s="195"/>
      <c r="AQ248" s="195"/>
      <c r="AR248" s="195"/>
      <c r="AS248" s="195"/>
      <c r="AT248" s="195"/>
      <c r="AU248" s="195"/>
      <c r="AV248" s="195"/>
      <c r="AW248" s="195"/>
      <c r="AX248" s="195"/>
      <c r="AY248" s="195"/>
      <c r="AZ248" s="195"/>
      <c r="BA248" s="195"/>
    </row>
    <row r="249" spans="1:53" x14ac:dyDescent="0.2">
      <c r="A249" s="53" t="s">
        <v>63</v>
      </c>
      <c r="B249" s="168"/>
      <c r="C249" s="168"/>
      <c r="D249" s="410" t="s">
        <v>66</v>
      </c>
      <c r="E249" s="410"/>
      <c r="F249" s="410"/>
      <c r="G249" s="411"/>
      <c r="H249" s="396" t="s">
        <v>68</v>
      </c>
      <c r="I249" s="397"/>
      <c r="J249" s="397"/>
      <c r="K249" s="397"/>
      <c r="L249" s="397"/>
      <c r="M249" s="397"/>
      <c r="N249" s="397"/>
      <c r="O249" s="398"/>
      <c r="P249" s="193">
        <f ca="1">IF(AND($J$251="Custom",$H$249=Worksheet!$A$116),0,IF($H$249&lt;&gt;Worksheet!$A$116,Worksheet!C218,IF(Request!$J$251="MTDC",Worksheet!C218,IF(Request!$J$251="TDC",Worksheet!C219,IF(Request!$J$251="TC",Worksheet!C220)))))</f>
        <v>42295</v>
      </c>
      <c r="Q249" s="193">
        <f ca="1">IF(Q2="0 Months",0,IF(AND($J$251="Custom",$H$249=Worksheet!$A$116),0,IF($H$249&lt;&gt;Worksheet!$A$116,Worksheet!D218,IF(Request!$J$251="MTDC",Worksheet!D218,IF(Request!$J$251="TDC",Worksheet!D219,IF(Request!$J$251="TC",Worksheet!D220))))))</f>
        <v>43910</v>
      </c>
      <c r="R249" s="193">
        <f ca="1">IF(R2="0 Months",0,IF(AND($J$251="Custom",$H$249=Worksheet!$A$116),0,IF($H$249&lt;&gt;Worksheet!$A$116,Worksheet!E218,IF(Request!$J$251="MTDC",Worksheet!E218,IF(Request!$J$251="TDC",Worksheet!E219,IF(Request!$J$251="TC",Worksheet!E220))))))</f>
        <v>45585</v>
      </c>
      <c r="S249" s="193">
        <f ca="1">IF(S2="0 Months",0,IF(AND($J$251="Custom",$H$249=Worksheet!$A$116),0,IF($H$249&lt;&gt;Worksheet!$A$116,Worksheet!F218,IF(Request!$J$251="MTDC",Worksheet!F218,IF(Request!$J$251="TDC",Worksheet!F219,IF(Request!$J$251="TC",Worksheet!F220))))))</f>
        <v>0</v>
      </c>
      <c r="T249" s="193">
        <f ca="1">IF(T2="0 Months",0,IF(AND($J$251="Custom",$H$249=Worksheet!$A$116),0,IF($H$249&lt;&gt;Worksheet!$A$116,Worksheet!G218,IF(Request!$J$251="MTDC",Worksheet!G218,IF(Request!$J$251="TDC",Worksheet!G219,IF(Request!$J$251="TC",Worksheet!G220))))))</f>
        <v>0</v>
      </c>
      <c r="U249" s="194">
        <f ca="1">SUM(P249:T249)</f>
        <v>131790</v>
      </c>
      <c r="V249" s="207"/>
      <c r="W249" s="195"/>
      <c r="X249" s="195"/>
      <c r="Y249" s="195"/>
      <c r="Z249" s="195"/>
      <c r="AA249" s="195"/>
      <c r="AB249" s="195"/>
      <c r="AC249" s="195"/>
      <c r="AD249" s="195"/>
      <c r="AE249" s="195"/>
      <c r="AF249" s="195"/>
      <c r="AG249" s="195"/>
      <c r="AH249" s="195"/>
      <c r="AI249" s="195"/>
      <c r="AJ249" s="195"/>
      <c r="AK249" s="195"/>
      <c r="AL249" s="195"/>
      <c r="AM249" s="195"/>
      <c r="AN249" s="195"/>
      <c r="AO249" s="195"/>
      <c r="AP249" s="195"/>
      <c r="AQ249" s="195"/>
      <c r="AR249" s="195"/>
      <c r="AS249" s="195"/>
      <c r="AT249" s="195"/>
      <c r="AU249" s="195"/>
      <c r="AV249" s="195"/>
      <c r="AW249" s="195"/>
      <c r="AX249" s="195"/>
      <c r="AY249" s="195"/>
      <c r="AZ249" s="195"/>
      <c r="BA249" s="195"/>
    </row>
    <row r="250" spans="1:53" hidden="1" x14ac:dyDescent="0.2">
      <c r="A250" s="199" t="s">
        <v>81</v>
      </c>
      <c r="B250" s="195"/>
      <c r="C250" s="195"/>
      <c r="D250" s="196"/>
      <c r="E250" s="196"/>
      <c r="F250" s="196"/>
      <c r="G250" s="412" t="s">
        <v>82</v>
      </c>
      <c r="H250" s="413"/>
      <c r="I250" s="413"/>
      <c r="J250" s="413"/>
      <c r="K250" s="413"/>
      <c r="L250" s="413"/>
      <c r="M250" s="413"/>
      <c r="N250" s="413"/>
      <c r="O250" s="414"/>
      <c r="P250" s="201"/>
      <c r="Q250" s="201"/>
      <c r="R250" s="201"/>
      <c r="S250" s="201"/>
      <c r="T250" s="201"/>
      <c r="U250" s="74">
        <f>SUM(P250:T250)</f>
        <v>0</v>
      </c>
      <c r="V250" s="195"/>
      <c r="W250" s="195"/>
      <c r="X250" s="195"/>
      <c r="Y250" s="195"/>
      <c r="Z250" s="195"/>
      <c r="AA250" s="195"/>
      <c r="AB250" s="195"/>
      <c r="AC250" s="195"/>
      <c r="AD250" s="195"/>
      <c r="AE250" s="195"/>
      <c r="AF250" s="195"/>
      <c r="AG250" s="195"/>
      <c r="AH250" s="195"/>
      <c r="AI250" s="195"/>
      <c r="AJ250" s="195"/>
      <c r="AK250" s="195"/>
      <c r="AL250" s="195"/>
      <c r="AM250" s="195"/>
      <c r="AN250" s="195"/>
      <c r="AO250" s="195"/>
      <c r="AP250" s="195"/>
      <c r="AQ250" s="195"/>
      <c r="AR250" s="195"/>
      <c r="AS250" s="195"/>
      <c r="AT250" s="195"/>
      <c r="AU250" s="195"/>
      <c r="AV250" s="195"/>
      <c r="AW250" s="195"/>
      <c r="AX250" s="195"/>
      <c r="AY250" s="195"/>
      <c r="AZ250" s="195"/>
      <c r="BA250" s="195"/>
    </row>
    <row r="251" spans="1:53" x14ac:dyDescent="0.2">
      <c r="A251" s="200" t="s">
        <v>64</v>
      </c>
      <c r="B251" s="197"/>
      <c r="C251" s="198"/>
      <c r="D251" s="198"/>
      <c r="E251" s="198"/>
      <c r="F251" s="198"/>
      <c r="G251" s="409" t="s">
        <v>77</v>
      </c>
      <c r="H251" s="410"/>
      <c r="I251" s="411"/>
      <c r="J251" s="407" t="s">
        <v>94</v>
      </c>
      <c r="K251" s="408"/>
      <c r="L251" s="409" t="s">
        <v>80</v>
      </c>
      <c r="M251" s="410"/>
      <c r="N251" s="405">
        <v>0.1</v>
      </c>
      <c r="O251" s="406"/>
      <c r="P251" s="55">
        <f ca="1">IF(P248=0,0,IF(AND($J$251="Custom",$H$249=Worksheet!A116),(ROUND(P250*$N$251,0)),(IF($H$249=Worksheet!$A$116,ROUND(Request!P249*$N$251,0),(ROUND((P249-Worksheet!C221)/Worksheet!C5*Worksheet!C9*Worksheet!B122+(P249-Worksheet!C221)/Worksheet!C5*Worksheet!C10*Worksheet!C122,0)+(IF($K$216="Federal",ROUND(Worksheet!C221*Worksheet!B117,0),(ROUND(Worksheet!C221*Worksheet!B118,0)))))))))</f>
        <v>24108</v>
      </c>
      <c r="Q251" s="55">
        <f ca="1">IF(Q248=0,0,IF(AND($J$251="Custom",$H$249=Worksheet!A116),(ROUND(Q250*$N$251,0)),(IF($H$249=Worksheet!$A$116,ROUND(Request!Q249*$N$251,0),(ROUND((Q249-Worksheet!D221)/Worksheet!D5*Worksheet!D9*Worksheet!D122+(Q249-Worksheet!D221)/Worksheet!D5*Worksheet!D10*Worksheet!E122,0)+(IF($K$216="Federal",ROUND(Worksheet!D221*Worksheet!B117,0),(ROUND(Worksheet!D221*Worksheet!B118,0)))))))))</f>
        <v>25029</v>
      </c>
      <c r="R251" s="55">
        <f ca="1">IF(R248=0,0,IF(AND($J$251="Custom",$H$249=Worksheet!A116),(ROUND(R250*$N$251,0)),(IF($H$249=Worksheet!$A$116,ROUND(Request!R249*$N$251,0),(ROUND((R249-Worksheet!E221)/Worksheet!E5*Worksheet!E9*Worksheet!F122+(R249-Worksheet!E221)/Worksheet!E5*Worksheet!E10*Worksheet!G122,0)+(IF($K$216="Federal",ROUND(Worksheet!E221*Worksheet!B117,0),(ROUND(Worksheet!E221*Worksheet!B118,0)))))))))</f>
        <v>25983</v>
      </c>
      <c r="S251" s="55">
        <f ca="1">IF(S248=0,0,IF(AND($J$251="Custom",$H$249=Worksheet!A116),(ROUND(S250*$N$251,0)),(IF($H$249=Worksheet!$A$116,ROUND(Request!S249*$N$251,0),(ROUND((S249-Worksheet!F221)/Worksheet!F5*Worksheet!F9*Worksheet!H122+(S249-Worksheet!F221)/Worksheet!F5*Worksheet!F10*Worksheet!I122,0)+(IF($K$216="Federal",ROUND(Worksheet!F221*Worksheet!B117,0),(ROUND(Worksheet!F221*Worksheet!B118,0)))))))))</f>
        <v>0</v>
      </c>
      <c r="T251" s="55">
        <f ca="1">IF(T248=0,0,IF(AND($J$251="Custom",$H$249=Worksheet!A116),(ROUND(T250*$N$251,0)),(IF($H$249=Worksheet!$A$116,ROUND(Request!T249*$N$251,0),(ROUND((T249-Worksheet!G221)/Worksheet!G5*Worksheet!G9*Worksheet!J122+(T249-Worksheet!G221)/Worksheet!G5*Worksheet!G10*Worksheet!K122,0)+(IF($K$216="Federal",ROUND(Worksheet!G221*Worksheet!B117,0),(ROUND(Worksheet!G221*Worksheet!B118,0)))))))))</f>
        <v>0</v>
      </c>
      <c r="U251" s="83">
        <f ca="1">SUM(P251:T251)</f>
        <v>75120</v>
      </c>
      <c r="V251" s="195"/>
      <c r="W251" s="195"/>
      <c r="X251" s="195"/>
      <c r="Y251" s="195"/>
      <c r="Z251" s="195"/>
      <c r="AA251" s="195"/>
      <c r="AB251" s="195"/>
      <c r="AC251" s="195"/>
      <c r="AD251" s="195"/>
      <c r="AE251" s="195"/>
      <c r="AF251" s="195"/>
      <c r="AG251" s="195"/>
      <c r="AH251" s="195"/>
      <c r="AI251" s="195"/>
      <c r="AJ251" s="195"/>
      <c r="AK251" s="195"/>
      <c r="AL251" s="195"/>
      <c r="AM251" s="195"/>
      <c r="AN251" s="195"/>
      <c r="AO251" s="195"/>
      <c r="AP251" s="195"/>
      <c r="AQ251" s="195"/>
      <c r="AR251" s="195"/>
      <c r="AS251" s="195"/>
      <c r="AT251" s="195"/>
      <c r="AU251" s="195"/>
      <c r="AV251" s="195"/>
      <c r="AW251" s="195"/>
      <c r="AX251" s="195"/>
      <c r="AY251" s="195"/>
      <c r="AZ251" s="195"/>
      <c r="BA251" s="195"/>
    </row>
    <row r="252" spans="1:53" x14ac:dyDescent="0.2">
      <c r="A252" s="79" t="s">
        <v>65</v>
      </c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56"/>
      <c r="O252" s="57"/>
      <c r="P252" s="58">
        <f t="shared" ref="P252:U252" ca="1" si="36">P248+P251</f>
        <v>66403</v>
      </c>
      <c r="Q252" s="58">
        <f t="shared" ca="1" si="36"/>
        <v>68939</v>
      </c>
      <c r="R252" s="58">
        <f t="shared" ca="1" si="36"/>
        <v>71568</v>
      </c>
      <c r="S252" s="58">
        <f t="shared" ca="1" si="36"/>
        <v>0</v>
      </c>
      <c r="T252" s="58">
        <f t="shared" ca="1" si="36"/>
        <v>0</v>
      </c>
      <c r="U252" s="58">
        <f t="shared" ca="1" si="36"/>
        <v>206910</v>
      </c>
      <c r="V252" s="195"/>
      <c r="W252" s="195"/>
      <c r="X252" s="195"/>
      <c r="Y252" s="195"/>
      <c r="Z252" s="195"/>
      <c r="AA252" s="195"/>
      <c r="AB252" s="195"/>
      <c r="AC252" s="195"/>
      <c r="AD252" s="195"/>
      <c r="AE252" s="195"/>
      <c r="AF252" s="195"/>
      <c r="AG252" s="195"/>
      <c r="AH252" s="195"/>
      <c r="AI252" s="195"/>
      <c r="AJ252" s="195"/>
      <c r="AK252" s="195"/>
      <c r="AL252" s="195"/>
      <c r="AM252" s="195"/>
      <c r="AN252" s="195"/>
      <c r="AO252" s="195"/>
      <c r="AP252" s="195"/>
      <c r="AQ252" s="195"/>
      <c r="AR252" s="195"/>
      <c r="AS252" s="195"/>
      <c r="AT252" s="195"/>
      <c r="AU252" s="195"/>
      <c r="AV252" s="195"/>
      <c r="AW252" s="195"/>
      <c r="AX252" s="195"/>
      <c r="AY252" s="195"/>
      <c r="AZ252" s="195"/>
      <c r="BA252" s="195"/>
    </row>
    <row r="253" spans="1:53" x14ac:dyDescent="0.2">
      <c r="A253" s="208"/>
      <c r="B253" s="209"/>
      <c r="C253" s="209"/>
      <c r="D253" s="209"/>
      <c r="E253" s="209"/>
      <c r="F253" s="209"/>
      <c r="G253" s="209"/>
      <c r="H253" s="209"/>
      <c r="I253" s="209"/>
      <c r="J253" s="209"/>
      <c r="K253" s="209"/>
      <c r="L253" s="209"/>
      <c r="M253" s="209"/>
      <c r="N253" s="209"/>
      <c r="O253" s="209"/>
      <c r="P253" s="210"/>
      <c r="Q253" s="210"/>
      <c r="R253" s="210"/>
      <c r="S253" s="210"/>
      <c r="T253" s="210"/>
      <c r="U253" s="210"/>
      <c r="V253" s="195"/>
      <c r="W253" s="195"/>
      <c r="X253" s="195"/>
      <c r="Y253" s="195"/>
      <c r="Z253" s="195"/>
      <c r="AA253" s="195"/>
      <c r="AB253" s="195"/>
      <c r="AC253" s="195"/>
      <c r="AD253" s="195"/>
      <c r="AE253" s="195"/>
      <c r="AF253" s="195"/>
      <c r="AG253" s="195"/>
      <c r="AH253" s="195"/>
      <c r="AI253" s="195"/>
      <c r="AJ253" s="195"/>
      <c r="AK253" s="195"/>
      <c r="AL253" s="195"/>
      <c r="AM253" s="195"/>
      <c r="AN253" s="195"/>
      <c r="AO253" s="195"/>
      <c r="AP253" s="195"/>
      <c r="AQ253" s="195"/>
      <c r="AR253" s="195"/>
      <c r="AS253" s="195"/>
      <c r="AT253" s="195"/>
      <c r="AU253" s="195"/>
      <c r="AV253" s="195"/>
      <c r="AW253" s="195"/>
      <c r="AX253" s="195"/>
      <c r="AY253" s="195"/>
      <c r="AZ253" s="195"/>
      <c r="BA253" s="195"/>
    </row>
    <row r="254" spans="1:53" x14ac:dyDescent="0.2">
      <c r="A254" s="215" t="s">
        <v>271</v>
      </c>
      <c r="B254" s="195"/>
      <c r="C254" s="195"/>
      <c r="D254" s="195"/>
      <c r="E254" s="195"/>
      <c r="F254" s="195"/>
      <c r="G254" s="195"/>
      <c r="H254" s="195"/>
      <c r="I254" s="195"/>
      <c r="J254" s="195"/>
      <c r="K254" s="195"/>
      <c r="L254" s="195"/>
      <c r="M254" s="195"/>
      <c r="N254" s="195"/>
      <c r="O254" s="195"/>
      <c r="P254" s="211"/>
      <c r="Q254" s="211"/>
      <c r="R254" s="211"/>
      <c r="S254" s="211"/>
      <c r="T254" s="211"/>
      <c r="U254" s="211"/>
      <c r="V254" s="195"/>
      <c r="W254" s="195"/>
      <c r="X254" s="195"/>
      <c r="Y254" s="195"/>
      <c r="Z254" s="195"/>
      <c r="AA254" s="195"/>
      <c r="AB254" s="195"/>
      <c r="AC254" s="195"/>
      <c r="AD254" s="195"/>
      <c r="AE254" s="195"/>
      <c r="AF254" s="195"/>
      <c r="AG254" s="195"/>
      <c r="AH254" s="195"/>
      <c r="AI254" s="195"/>
      <c r="AJ254" s="195"/>
      <c r="AK254" s="195"/>
      <c r="AL254" s="195"/>
      <c r="AM254" s="195"/>
      <c r="AN254" s="195"/>
      <c r="AO254" s="195"/>
      <c r="AP254" s="195"/>
      <c r="AQ254" s="195"/>
      <c r="AR254" s="195"/>
      <c r="AS254" s="195"/>
      <c r="AT254" s="195"/>
      <c r="AU254" s="195"/>
      <c r="AV254" s="195"/>
      <c r="AW254" s="195"/>
      <c r="AX254" s="195"/>
      <c r="AY254" s="195"/>
      <c r="AZ254" s="195"/>
      <c r="BA254" s="195"/>
    </row>
    <row r="255" spans="1:53" x14ac:dyDescent="0.2">
      <c r="A255" s="195"/>
      <c r="B255" s="195"/>
      <c r="C255" s="195"/>
      <c r="D255" s="195"/>
      <c r="E255" s="195"/>
      <c r="F255" s="195"/>
      <c r="G255" s="195"/>
      <c r="H255" s="195"/>
      <c r="I255" s="195"/>
      <c r="J255" s="195"/>
      <c r="K255" s="195"/>
      <c r="L255" s="195"/>
      <c r="M255" s="195"/>
      <c r="N255" s="195"/>
      <c r="O255" s="195"/>
      <c r="P255" s="204"/>
      <c r="Q255" s="204"/>
      <c r="R255" s="204"/>
      <c r="S255" s="204"/>
      <c r="T255" s="204"/>
      <c r="U255" s="204"/>
      <c r="V255" s="195"/>
      <c r="W255" s="195"/>
      <c r="X255" s="195"/>
      <c r="Y255" s="195"/>
      <c r="Z255" s="195"/>
      <c r="AA255" s="195"/>
      <c r="AB255" s="195"/>
      <c r="AC255" s="195"/>
      <c r="AD255" s="195"/>
      <c r="AE255" s="195"/>
      <c r="AF255" s="195"/>
      <c r="AG255" s="195"/>
      <c r="AH255" s="195"/>
      <c r="AI255" s="195"/>
      <c r="AJ255" s="195"/>
      <c r="AK255" s="195"/>
      <c r="AL255" s="195"/>
      <c r="AM255" s="195"/>
      <c r="AN255" s="195"/>
      <c r="AO255" s="195"/>
      <c r="AP255" s="195"/>
      <c r="AQ255" s="195"/>
      <c r="AR255" s="195"/>
      <c r="AS255" s="195"/>
      <c r="AT255" s="195"/>
      <c r="AU255" s="195"/>
      <c r="AV255" s="195"/>
      <c r="AW255" s="195"/>
      <c r="AX255" s="195"/>
      <c r="AY255" s="195"/>
      <c r="AZ255" s="195"/>
      <c r="BA255" s="195"/>
    </row>
    <row r="256" spans="1:53" x14ac:dyDescent="0.2">
      <c r="A256" s="195"/>
      <c r="B256" s="195"/>
      <c r="C256" s="195"/>
      <c r="D256" s="195"/>
      <c r="E256" s="195"/>
      <c r="F256" s="195"/>
      <c r="G256" s="195"/>
      <c r="H256" s="195"/>
      <c r="I256" s="195"/>
      <c r="J256" s="195"/>
      <c r="K256" s="195"/>
      <c r="L256" s="195"/>
      <c r="M256" s="195"/>
      <c r="N256" s="195"/>
      <c r="O256" s="195"/>
      <c r="P256" s="204"/>
      <c r="Q256" s="204"/>
      <c r="R256" s="204"/>
      <c r="S256" s="204"/>
      <c r="T256" s="204"/>
      <c r="U256" s="204"/>
      <c r="V256" s="195"/>
      <c r="W256" s="195"/>
      <c r="X256" s="195"/>
      <c r="Y256" s="195"/>
      <c r="Z256" s="195"/>
      <c r="AA256" s="195"/>
      <c r="AB256" s="195"/>
      <c r="AC256" s="195"/>
      <c r="AD256" s="195"/>
      <c r="AE256" s="195"/>
      <c r="AF256" s="195"/>
      <c r="AG256" s="195"/>
      <c r="AH256" s="195"/>
      <c r="AI256" s="195"/>
      <c r="AJ256" s="195"/>
      <c r="AK256" s="195"/>
      <c r="AL256" s="195"/>
      <c r="AM256" s="195"/>
      <c r="AN256" s="195"/>
      <c r="AO256" s="195"/>
      <c r="AP256" s="195"/>
      <c r="AQ256" s="195"/>
      <c r="AR256" s="195"/>
      <c r="AS256" s="195"/>
      <c r="AT256" s="195"/>
      <c r="AU256" s="195"/>
      <c r="AV256" s="195"/>
      <c r="AW256" s="195"/>
      <c r="AX256" s="195"/>
      <c r="AY256" s="195"/>
      <c r="AZ256" s="195"/>
      <c r="BA256" s="195"/>
    </row>
    <row r="257" spans="1:53" x14ac:dyDescent="0.2">
      <c r="A257" s="195"/>
      <c r="B257" s="195"/>
      <c r="C257" s="195"/>
      <c r="D257" s="195"/>
      <c r="E257" s="195"/>
      <c r="F257" s="195"/>
      <c r="G257" s="195"/>
      <c r="H257" s="195"/>
      <c r="I257" s="195"/>
      <c r="J257" s="195"/>
      <c r="K257" s="195"/>
      <c r="L257" s="195"/>
      <c r="M257" s="195"/>
      <c r="N257" s="195"/>
      <c r="O257" s="195"/>
      <c r="P257" s="204"/>
      <c r="Q257" s="204"/>
      <c r="R257" s="204"/>
      <c r="S257" s="204"/>
      <c r="T257" s="204"/>
      <c r="U257" s="204"/>
      <c r="V257" s="195"/>
      <c r="W257" s="195"/>
      <c r="X257" s="195"/>
      <c r="Y257" s="195"/>
      <c r="Z257" s="195"/>
      <c r="AA257" s="195"/>
      <c r="AB257" s="195"/>
      <c r="AC257" s="195"/>
      <c r="AD257" s="195"/>
      <c r="AE257" s="195"/>
      <c r="AF257" s="195"/>
      <c r="AG257" s="195"/>
      <c r="AH257" s="195"/>
      <c r="AI257" s="195"/>
      <c r="AJ257" s="195"/>
      <c r="AK257" s="195"/>
      <c r="AL257" s="195"/>
      <c r="AM257" s="195"/>
      <c r="AN257" s="195"/>
      <c r="AO257" s="195"/>
      <c r="AP257" s="195"/>
      <c r="AQ257" s="195"/>
      <c r="AR257" s="195"/>
      <c r="AS257" s="195"/>
      <c r="AT257" s="195"/>
      <c r="AU257" s="195"/>
      <c r="AV257" s="195"/>
      <c r="AW257" s="195"/>
      <c r="AX257" s="195"/>
      <c r="AY257" s="195"/>
      <c r="AZ257" s="195"/>
      <c r="BA257" s="195"/>
    </row>
    <row r="258" spans="1:53" x14ac:dyDescent="0.2">
      <c r="A258" s="195"/>
      <c r="B258" s="195"/>
      <c r="C258" s="195"/>
      <c r="D258" s="195"/>
      <c r="E258" s="195"/>
      <c r="F258" s="195"/>
      <c r="G258" s="195"/>
      <c r="H258" s="195"/>
      <c r="I258" s="195"/>
      <c r="J258" s="195"/>
      <c r="K258" s="195"/>
      <c r="L258" s="195"/>
      <c r="M258" s="195"/>
      <c r="N258" s="195"/>
      <c r="O258" s="195"/>
      <c r="P258" s="211"/>
      <c r="Q258" s="211"/>
      <c r="R258" s="211"/>
      <c r="S258" s="211"/>
      <c r="T258" s="211"/>
      <c r="U258" s="211"/>
      <c r="V258" s="195"/>
      <c r="W258" s="195"/>
      <c r="X258" s="195"/>
      <c r="Y258" s="195"/>
      <c r="Z258" s="195"/>
      <c r="AA258" s="195"/>
      <c r="AB258" s="195"/>
      <c r="AC258" s="195"/>
      <c r="AD258" s="195"/>
      <c r="AE258" s="195"/>
      <c r="AF258" s="195"/>
      <c r="AG258" s="195"/>
      <c r="AH258" s="195"/>
      <c r="AI258" s="195"/>
      <c r="AJ258" s="195"/>
      <c r="AK258" s="195"/>
      <c r="AL258" s="195"/>
      <c r="AM258" s="195"/>
      <c r="AN258" s="195"/>
      <c r="AO258" s="195"/>
      <c r="AP258" s="195"/>
      <c r="AQ258" s="195"/>
      <c r="AR258" s="195"/>
      <c r="AS258" s="195"/>
      <c r="AT258" s="195"/>
      <c r="AU258" s="195"/>
      <c r="AV258" s="195"/>
      <c r="AW258" s="195"/>
      <c r="AX258" s="195"/>
      <c r="AY258" s="195"/>
      <c r="AZ258" s="195"/>
      <c r="BA258" s="195"/>
    </row>
    <row r="259" spans="1:53" x14ac:dyDescent="0.2">
      <c r="A259" s="195"/>
      <c r="B259" s="195"/>
      <c r="C259" s="195"/>
      <c r="D259" s="195"/>
      <c r="E259" s="195"/>
      <c r="F259" s="195"/>
      <c r="G259" s="195"/>
      <c r="H259" s="195"/>
      <c r="I259" s="195"/>
      <c r="J259" s="195"/>
      <c r="K259" s="195"/>
      <c r="L259" s="195"/>
      <c r="M259" s="195"/>
      <c r="N259" s="195"/>
      <c r="O259" s="195"/>
      <c r="P259" s="204"/>
      <c r="Q259" s="204"/>
      <c r="R259" s="204"/>
      <c r="S259" s="204"/>
      <c r="T259" s="204"/>
      <c r="U259" s="204"/>
      <c r="V259" s="195"/>
      <c r="W259" s="195"/>
      <c r="X259" s="195"/>
      <c r="Y259" s="195"/>
      <c r="Z259" s="195"/>
      <c r="AA259" s="195"/>
      <c r="AB259" s="195"/>
      <c r="AC259" s="195"/>
      <c r="AD259" s="195"/>
      <c r="AE259" s="195"/>
      <c r="AF259" s="195"/>
      <c r="AG259" s="195"/>
      <c r="AH259" s="195"/>
      <c r="AI259" s="195"/>
      <c r="AJ259" s="195"/>
      <c r="AK259" s="195"/>
      <c r="AL259" s="195"/>
      <c r="AM259" s="195"/>
      <c r="AN259" s="195"/>
      <c r="AO259" s="195"/>
      <c r="AP259" s="195"/>
      <c r="AQ259" s="195"/>
      <c r="AR259" s="195"/>
      <c r="AS259" s="195"/>
      <c r="AT259" s="195"/>
      <c r="AU259" s="195"/>
      <c r="AV259" s="195"/>
      <c r="AW259" s="195"/>
      <c r="AX259" s="195"/>
      <c r="AY259" s="195"/>
      <c r="AZ259" s="195"/>
      <c r="BA259" s="195"/>
    </row>
    <row r="260" spans="1:53" x14ac:dyDescent="0.2">
      <c r="A260" s="195"/>
      <c r="B260" s="195"/>
      <c r="C260" s="195"/>
      <c r="D260" s="195"/>
      <c r="E260" s="195"/>
      <c r="F260" s="195"/>
      <c r="G260" s="195"/>
      <c r="H260" s="195"/>
      <c r="I260" s="195"/>
      <c r="J260" s="195"/>
      <c r="K260" s="195"/>
      <c r="L260" s="195"/>
      <c r="M260" s="195"/>
      <c r="N260" s="195"/>
      <c r="O260" s="195"/>
      <c r="P260" s="195"/>
      <c r="Q260" s="195"/>
      <c r="R260" s="195"/>
      <c r="S260" s="195"/>
      <c r="T260" s="195"/>
      <c r="U260" s="195"/>
      <c r="V260" s="195"/>
      <c r="W260" s="195"/>
      <c r="X260" s="195"/>
      <c r="Y260" s="195"/>
      <c r="Z260" s="195"/>
      <c r="AA260" s="195"/>
      <c r="AB260" s="195"/>
      <c r="AC260" s="195"/>
      <c r="AD260" s="195"/>
      <c r="AE260" s="195"/>
      <c r="AF260" s="195"/>
      <c r="AG260" s="195"/>
      <c r="AH260" s="195"/>
      <c r="AI260" s="195"/>
      <c r="AJ260" s="195"/>
      <c r="AK260" s="195"/>
      <c r="AL260" s="195"/>
      <c r="AM260" s="195"/>
      <c r="AN260" s="195"/>
      <c r="AO260" s="195"/>
    </row>
    <row r="261" spans="1:53" x14ac:dyDescent="0.2">
      <c r="A261" s="195"/>
      <c r="B261" s="195"/>
      <c r="C261" s="195"/>
      <c r="D261" s="195"/>
      <c r="E261" s="195"/>
      <c r="F261" s="195"/>
      <c r="G261" s="195"/>
      <c r="H261" s="195"/>
      <c r="I261" s="195"/>
      <c r="J261" s="195"/>
      <c r="K261" s="195"/>
      <c r="L261" s="195"/>
      <c r="M261" s="195"/>
      <c r="N261" s="195"/>
      <c r="O261" s="195"/>
      <c r="P261" s="195"/>
      <c r="Q261" s="195"/>
      <c r="R261" s="195"/>
      <c r="S261" s="195"/>
      <c r="T261" s="195"/>
      <c r="U261" s="195"/>
      <c r="V261" s="195"/>
      <c r="W261" s="195"/>
      <c r="X261" s="195"/>
      <c r="Y261" s="195"/>
      <c r="Z261" s="195"/>
      <c r="AA261" s="195"/>
      <c r="AB261" s="195"/>
      <c r="AC261" s="195"/>
      <c r="AD261" s="195"/>
      <c r="AE261" s="195"/>
      <c r="AF261" s="195"/>
      <c r="AG261" s="195"/>
      <c r="AH261" s="195"/>
      <c r="AI261" s="195"/>
      <c r="AJ261" s="195"/>
      <c r="AK261" s="195"/>
      <c r="AL261" s="195"/>
      <c r="AM261" s="195"/>
      <c r="AN261" s="195"/>
      <c r="AO261" s="195"/>
    </row>
    <row r="262" spans="1:53" x14ac:dyDescent="0.2">
      <c r="A262" s="195"/>
      <c r="B262" s="195"/>
      <c r="C262" s="195"/>
      <c r="D262" s="195"/>
      <c r="E262" s="195"/>
      <c r="F262" s="195"/>
      <c r="G262" s="195"/>
      <c r="H262" s="195"/>
      <c r="I262" s="195"/>
      <c r="J262" s="195"/>
      <c r="K262" s="195"/>
      <c r="L262" s="195"/>
      <c r="M262" s="195"/>
      <c r="N262" s="195"/>
      <c r="O262" s="195"/>
      <c r="P262" s="195"/>
      <c r="Q262" s="195"/>
      <c r="R262" s="195"/>
      <c r="S262" s="195"/>
      <c r="T262" s="195"/>
      <c r="U262" s="195"/>
      <c r="V262" s="195"/>
      <c r="W262" s="195"/>
      <c r="X262" s="195"/>
      <c r="Y262" s="195"/>
      <c r="Z262" s="195"/>
      <c r="AA262" s="195"/>
      <c r="AB262" s="195"/>
      <c r="AC262" s="195"/>
      <c r="AD262" s="195"/>
      <c r="AE262" s="195"/>
      <c r="AF262" s="195"/>
      <c r="AG262" s="195"/>
      <c r="AH262" s="195"/>
      <c r="AI262" s="195"/>
      <c r="AJ262" s="195"/>
      <c r="AK262" s="195"/>
      <c r="AL262" s="195"/>
      <c r="AM262" s="195"/>
      <c r="AN262" s="195"/>
      <c r="AO262" s="195"/>
    </row>
    <row r="263" spans="1:53" x14ac:dyDescent="0.2">
      <c r="A263" s="195"/>
      <c r="B263" s="195"/>
      <c r="C263" s="195"/>
      <c r="D263" s="195"/>
      <c r="E263" s="195"/>
      <c r="F263" s="195"/>
      <c r="G263" s="195"/>
      <c r="H263" s="195"/>
      <c r="I263" s="195"/>
      <c r="J263" s="195"/>
      <c r="K263" s="195"/>
      <c r="L263" s="195"/>
      <c r="M263" s="195"/>
      <c r="N263" s="195"/>
      <c r="O263" s="195"/>
      <c r="P263" s="195"/>
      <c r="Q263" s="195"/>
      <c r="R263" s="195"/>
      <c r="S263" s="195"/>
      <c r="T263" s="195"/>
      <c r="U263" s="195"/>
      <c r="V263" s="195"/>
      <c r="W263" s="195"/>
      <c r="X263" s="195"/>
      <c r="Y263" s="195"/>
      <c r="Z263" s="195"/>
      <c r="AA263" s="195"/>
      <c r="AB263" s="195"/>
      <c r="AC263" s="195"/>
      <c r="AD263" s="195"/>
      <c r="AE263" s="195"/>
      <c r="AF263" s="195"/>
      <c r="AG263" s="195"/>
      <c r="AH263" s="195"/>
      <c r="AI263" s="195"/>
      <c r="AJ263" s="195"/>
      <c r="AK263" s="195"/>
      <c r="AL263" s="195"/>
      <c r="AM263" s="195"/>
      <c r="AN263" s="195"/>
      <c r="AO263" s="195"/>
    </row>
    <row r="264" spans="1:53" x14ac:dyDescent="0.2">
      <c r="A264" s="195"/>
      <c r="B264" s="195"/>
      <c r="C264" s="195"/>
      <c r="D264" s="195"/>
      <c r="E264" s="195"/>
      <c r="F264" s="195"/>
      <c r="G264" s="195"/>
      <c r="H264" s="195"/>
      <c r="I264" s="195"/>
      <c r="J264" s="195"/>
      <c r="K264" s="195"/>
      <c r="L264" s="195"/>
      <c r="M264" s="195"/>
      <c r="N264" s="195"/>
      <c r="O264" s="195"/>
      <c r="P264" s="195"/>
      <c r="Q264" s="195"/>
      <c r="R264" s="195"/>
      <c r="S264" s="195"/>
      <c r="T264" s="195"/>
      <c r="U264" s="195"/>
      <c r="V264" s="195"/>
      <c r="W264" s="195"/>
      <c r="X264" s="195"/>
      <c r="Y264" s="195"/>
      <c r="Z264" s="195"/>
      <c r="AA264" s="195"/>
      <c r="AB264" s="195"/>
      <c r="AC264" s="195"/>
      <c r="AD264" s="195"/>
      <c r="AE264" s="195"/>
      <c r="AF264" s="195"/>
      <c r="AG264" s="195"/>
      <c r="AH264" s="195"/>
      <c r="AI264" s="195"/>
      <c r="AJ264" s="195"/>
      <c r="AK264" s="195"/>
      <c r="AL264" s="195"/>
      <c r="AM264" s="195"/>
      <c r="AN264" s="195"/>
      <c r="AO264" s="195"/>
    </row>
    <row r="265" spans="1:53" x14ac:dyDescent="0.2">
      <c r="A265" s="195"/>
      <c r="B265" s="195"/>
      <c r="C265" s="195"/>
      <c r="D265" s="195"/>
      <c r="E265" s="195"/>
      <c r="F265" s="195"/>
      <c r="G265" s="195"/>
      <c r="H265" s="195"/>
      <c r="I265" s="195"/>
      <c r="J265" s="195"/>
      <c r="K265" s="195"/>
      <c r="L265" s="195"/>
      <c r="M265" s="195"/>
      <c r="N265" s="195"/>
      <c r="O265" s="195"/>
      <c r="P265" s="195"/>
      <c r="Q265" s="195"/>
      <c r="R265" s="195"/>
      <c r="S265" s="195"/>
      <c r="T265" s="195"/>
      <c r="U265" s="195"/>
      <c r="V265" s="195"/>
      <c r="W265" s="195"/>
      <c r="X265" s="195"/>
      <c r="Y265" s="195"/>
      <c r="Z265" s="195"/>
      <c r="AA265" s="195"/>
      <c r="AB265" s="195"/>
      <c r="AC265" s="195"/>
      <c r="AD265" s="195"/>
      <c r="AE265" s="195"/>
      <c r="AF265" s="195"/>
      <c r="AG265" s="195"/>
      <c r="AH265" s="195"/>
      <c r="AI265" s="195"/>
      <c r="AJ265" s="195"/>
      <c r="AK265" s="195"/>
      <c r="AL265" s="195"/>
      <c r="AM265" s="195"/>
      <c r="AN265" s="195"/>
      <c r="AO265" s="195"/>
    </row>
    <row r="266" spans="1:53" x14ac:dyDescent="0.2">
      <c r="A266" s="195"/>
      <c r="B266" s="195"/>
      <c r="C266" s="195"/>
      <c r="D266" s="195"/>
      <c r="E266" s="195"/>
      <c r="F266" s="195"/>
      <c r="G266" s="195"/>
      <c r="H266" s="195"/>
      <c r="I266" s="195"/>
      <c r="J266" s="195"/>
      <c r="K266" s="195"/>
      <c r="L266" s="195"/>
      <c r="M266" s="195"/>
      <c r="N266" s="195"/>
      <c r="O266" s="195"/>
      <c r="P266" s="195"/>
      <c r="Q266" s="195"/>
      <c r="R266" s="195"/>
      <c r="S266" s="195"/>
      <c r="T266" s="195"/>
      <c r="U266" s="195"/>
      <c r="V266" s="195"/>
      <c r="W266" s="195"/>
      <c r="X266" s="195"/>
      <c r="Y266" s="195"/>
      <c r="Z266" s="195"/>
      <c r="AA266" s="195"/>
      <c r="AB266" s="195"/>
      <c r="AC266" s="195"/>
      <c r="AD266" s="195"/>
      <c r="AE266" s="195"/>
      <c r="AF266" s="195"/>
      <c r="AG266" s="195"/>
      <c r="AH266" s="195"/>
      <c r="AI266" s="195"/>
      <c r="AJ266" s="195"/>
      <c r="AK266" s="195"/>
      <c r="AL266" s="195"/>
      <c r="AM266" s="195"/>
      <c r="AN266" s="195"/>
      <c r="AO266" s="195"/>
    </row>
    <row r="267" spans="1:53" x14ac:dyDescent="0.2">
      <c r="A267" s="195"/>
      <c r="B267" s="195"/>
      <c r="C267" s="195"/>
      <c r="D267" s="195"/>
      <c r="E267" s="195"/>
      <c r="F267" s="195"/>
      <c r="G267" s="195"/>
      <c r="H267" s="195"/>
      <c r="I267" s="195"/>
      <c r="J267" s="195"/>
      <c r="K267" s="195"/>
      <c r="L267" s="195"/>
      <c r="M267" s="195"/>
      <c r="N267" s="195"/>
      <c r="O267" s="195"/>
      <c r="P267" s="195"/>
      <c r="Q267" s="195"/>
      <c r="R267" s="195"/>
      <c r="S267" s="195"/>
      <c r="T267" s="195"/>
      <c r="U267" s="195"/>
      <c r="V267" s="195"/>
      <c r="W267" s="195"/>
      <c r="X267" s="195"/>
      <c r="Y267" s="195"/>
      <c r="Z267" s="195"/>
      <c r="AA267" s="195"/>
      <c r="AB267" s="195"/>
      <c r="AC267" s="195"/>
      <c r="AD267" s="195"/>
      <c r="AE267" s="195"/>
      <c r="AF267" s="195"/>
      <c r="AG267" s="195"/>
      <c r="AH267" s="195"/>
      <c r="AI267" s="195"/>
      <c r="AJ267" s="195"/>
      <c r="AK267" s="195"/>
      <c r="AL267" s="195"/>
      <c r="AM267" s="195"/>
      <c r="AN267" s="195"/>
      <c r="AO267" s="195"/>
    </row>
    <row r="268" spans="1:53" x14ac:dyDescent="0.2">
      <c r="A268" s="195"/>
      <c r="B268" s="195"/>
      <c r="C268" s="195"/>
      <c r="D268" s="195"/>
      <c r="E268" s="195"/>
      <c r="F268" s="195"/>
      <c r="G268" s="195"/>
      <c r="H268" s="195"/>
      <c r="I268" s="195"/>
      <c r="J268" s="195"/>
      <c r="K268" s="195"/>
      <c r="L268" s="195"/>
      <c r="M268" s="195"/>
      <c r="N268" s="195"/>
      <c r="O268" s="195"/>
      <c r="P268" s="195"/>
      <c r="Q268" s="195"/>
      <c r="R268" s="195"/>
      <c r="S268" s="195"/>
      <c r="T268" s="195"/>
      <c r="U268" s="195"/>
      <c r="V268" s="195"/>
      <c r="W268" s="195"/>
      <c r="X268" s="195"/>
      <c r="Y268" s="195"/>
      <c r="Z268" s="195"/>
      <c r="AA268" s="195"/>
      <c r="AB268" s="195"/>
      <c r="AC268" s="195"/>
      <c r="AD268" s="195"/>
      <c r="AE268" s="195"/>
      <c r="AF268" s="195"/>
      <c r="AG268" s="195"/>
      <c r="AH268" s="195"/>
      <c r="AI268" s="195"/>
      <c r="AJ268" s="195"/>
      <c r="AK268" s="195"/>
      <c r="AL268" s="195"/>
      <c r="AM268" s="195"/>
      <c r="AN268" s="195"/>
      <c r="AO268" s="195"/>
    </row>
    <row r="269" spans="1:53" x14ac:dyDescent="0.2">
      <c r="A269" s="195"/>
      <c r="B269" s="195"/>
      <c r="C269" s="195"/>
      <c r="D269" s="195"/>
      <c r="E269" s="195"/>
      <c r="F269" s="195"/>
      <c r="G269" s="195"/>
      <c r="H269" s="195"/>
      <c r="I269" s="195"/>
      <c r="J269" s="195"/>
      <c r="K269" s="195"/>
      <c r="L269" s="195"/>
      <c r="M269" s="195"/>
      <c r="N269" s="195"/>
      <c r="O269" s="195"/>
      <c r="P269" s="195"/>
      <c r="Q269" s="195"/>
      <c r="R269" s="195"/>
      <c r="S269" s="195"/>
      <c r="T269" s="195"/>
      <c r="U269" s="195"/>
      <c r="V269" s="195"/>
      <c r="W269" s="195"/>
      <c r="X269" s="195"/>
      <c r="Y269" s="195"/>
      <c r="Z269" s="195"/>
      <c r="AA269" s="195"/>
      <c r="AB269" s="195"/>
      <c r="AC269" s="195"/>
      <c r="AD269" s="195"/>
      <c r="AE269" s="195"/>
      <c r="AF269" s="195"/>
      <c r="AG269" s="195"/>
      <c r="AH269" s="195"/>
      <c r="AI269" s="195"/>
      <c r="AJ269" s="195"/>
      <c r="AK269" s="195"/>
      <c r="AL269" s="195"/>
      <c r="AM269" s="195"/>
      <c r="AN269" s="195"/>
      <c r="AO269" s="195"/>
    </row>
    <row r="270" spans="1:53" x14ac:dyDescent="0.2">
      <c r="A270" s="195"/>
      <c r="B270" s="195"/>
      <c r="C270" s="195"/>
      <c r="D270" s="195"/>
      <c r="E270" s="195"/>
      <c r="F270" s="195"/>
      <c r="G270" s="195"/>
      <c r="H270" s="195"/>
      <c r="I270" s="195"/>
      <c r="J270" s="195"/>
      <c r="K270" s="195"/>
      <c r="L270" s="195"/>
      <c r="M270" s="195"/>
      <c r="N270" s="195"/>
      <c r="O270" s="195"/>
      <c r="P270" s="195"/>
      <c r="Q270" s="195"/>
      <c r="R270" s="195"/>
      <c r="S270" s="195"/>
      <c r="T270" s="195"/>
      <c r="U270" s="195"/>
      <c r="V270" s="195"/>
      <c r="W270" s="195"/>
      <c r="X270" s="195"/>
      <c r="Y270" s="195"/>
      <c r="Z270" s="195"/>
      <c r="AA270" s="195"/>
      <c r="AB270" s="195"/>
      <c r="AC270" s="195"/>
      <c r="AD270" s="195"/>
      <c r="AE270" s="195"/>
      <c r="AF270" s="195"/>
      <c r="AG270" s="195"/>
      <c r="AH270" s="195"/>
      <c r="AI270" s="195"/>
      <c r="AJ270" s="195"/>
      <c r="AK270" s="195"/>
      <c r="AL270" s="195"/>
      <c r="AM270" s="195"/>
      <c r="AN270" s="195"/>
      <c r="AO270" s="195"/>
    </row>
    <row r="271" spans="1:53" x14ac:dyDescent="0.2">
      <c r="A271" s="195"/>
      <c r="B271" s="195"/>
      <c r="C271" s="195"/>
      <c r="D271" s="195"/>
      <c r="E271" s="195"/>
      <c r="F271" s="195"/>
      <c r="G271" s="195"/>
      <c r="H271" s="195"/>
      <c r="I271" s="195"/>
      <c r="J271" s="195"/>
      <c r="K271" s="195"/>
      <c r="L271" s="195"/>
      <c r="M271" s="195"/>
      <c r="N271" s="195"/>
      <c r="O271" s="195"/>
      <c r="P271" s="195"/>
      <c r="Q271" s="195"/>
      <c r="R271" s="195"/>
      <c r="S271" s="195"/>
      <c r="T271" s="195"/>
      <c r="U271" s="195"/>
      <c r="V271" s="195"/>
      <c r="W271" s="195"/>
      <c r="X271" s="195"/>
      <c r="Y271" s="195"/>
      <c r="Z271" s="195"/>
      <c r="AA271" s="195"/>
      <c r="AB271" s="195"/>
      <c r="AC271" s="195"/>
      <c r="AD271" s="195"/>
      <c r="AE271" s="195"/>
      <c r="AF271" s="195"/>
      <c r="AG271" s="195"/>
      <c r="AH271" s="195"/>
      <c r="AI271" s="195"/>
      <c r="AJ271" s="195"/>
      <c r="AK271" s="195"/>
      <c r="AL271" s="195"/>
      <c r="AM271" s="195"/>
      <c r="AN271" s="195"/>
      <c r="AO271" s="195"/>
    </row>
    <row r="272" spans="1:53" x14ac:dyDescent="0.2">
      <c r="A272" s="195"/>
      <c r="B272" s="195"/>
      <c r="C272" s="195"/>
      <c r="D272" s="195"/>
      <c r="E272" s="195"/>
      <c r="F272" s="195"/>
      <c r="G272" s="195"/>
      <c r="H272" s="195"/>
      <c r="I272" s="195"/>
      <c r="J272" s="195"/>
      <c r="K272" s="195"/>
      <c r="L272" s="195"/>
      <c r="M272" s="195"/>
      <c r="N272" s="195"/>
      <c r="O272" s="195"/>
      <c r="P272" s="195"/>
      <c r="Q272" s="195"/>
      <c r="R272" s="195"/>
      <c r="S272" s="195"/>
      <c r="T272" s="195"/>
      <c r="U272" s="195"/>
      <c r="V272" s="195"/>
      <c r="W272" s="195"/>
      <c r="X272" s="195"/>
      <c r="Y272" s="195"/>
      <c r="Z272" s="195"/>
      <c r="AA272" s="195"/>
      <c r="AB272" s="195"/>
      <c r="AC272" s="195"/>
      <c r="AD272" s="195"/>
      <c r="AE272" s="195"/>
      <c r="AF272" s="195"/>
      <c r="AG272" s="195"/>
      <c r="AH272" s="195"/>
      <c r="AI272" s="195"/>
      <c r="AJ272" s="195"/>
      <c r="AK272" s="195"/>
      <c r="AL272" s="195"/>
      <c r="AM272" s="195"/>
      <c r="AN272" s="195"/>
      <c r="AO272" s="195"/>
    </row>
    <row r="273" spans="1:41" x14ac:dyDescent="0.2">
      <c r="A273" s="195"/>
      <c r="B273" s="195"/>
      <c r="C273" s="195"/>
      <c r="D273" s="195"/>
      <c r="E273" s="195"/>
      <c r="F273" s="195"/>
      <c r="G273" s="195"/>
      <c r="H273" s="195"/>
      <c r="I273" s="195"/>
      <c r="J273" s="195"/>
      <c r="K273" s="195"/>
      <c r="L273" s="195"/>
      <c r="M273" s="195"/>
      <c r="N273" s="195"/>
      <c r="O273" s="195"/>
      <c r="P273" s="195"/>
      <c r="Q273" s="195"/>
      <c r="R273" s="195"/>
      <c r="S273" s="195"/>
      <c r="T273" s="195"/>
      <c r="U273" s="195"/>
      <c r="V273" s="195"/>
      <c r="W273" s="195"/>
      <c r="X273" s="195"/>
      <c r="Y273" s="195"/>
      <c r="Z273" s="195"/>
      <c r="AA273" s="195"/>
      <c r="AB273" s="195"/>
      <c r="AC273" s="195"/>
      <c r="AD273" s="195"/>
      <c r="AE273" s="195"/>
      <c r="AF273" s="195"/>
      <c r="AG273" s="195"/>
      <c r="AH273" s="195"/>
      <c r="AI273" s="195"/>
      <c r="AJ273" s="195"/>
      <c r="AK273" s="195"/>
      <c r="AL273" s="195"/>
      <c r="AM273" s="195"/>
      <c r="AN273" s="195"/>
      <c r="AO273" s="195"/>
    </row>
    <row r="274" spans="1:41" x14ac:dyDescent="0.2">
      <c r="A274" s="195"/>
      <c r="B274" s="195"/>
      <c r="C274" s="195"/>
      <c r="D274" s="195"/>
      <c r="E274" s="195"/>
      <c r="F274" s="195"/>
      <c r="G274" s="195"/>
      <c r="H274" s="195"/>
      <c r="I274" s="195"/>
      <c r="J274" s="195"/>
      <c r="K274" s="195"/>
      <c r="L274" s="195"/>
      <c r="M274" s="195"/>
      <c r="N274" s="195"/>
      <c r="O274" s="195"/>
      <c r="P274" s="195"/>
      <c r="Q274" s="195"/>
      <c r="R274" s="195"/>
      <c r="S274" s="195"/>
      <c r="T274" s="195"/>
      <c r="U274" s="195"/>
      <c r="V274" s="195"/>
      <c r="W274" s="195"/>
      <c r="X274" s="195"/>
      <c r="Y274" s="195"/>
      <c r="Z274" s="195"/>
      <c r="AA274" s="195"/>
      <c r="AB274" s="195"/>
      <c r="AC274" s="195"/>
      <c r="AD274" s="195"/>
      <c r="AE274" s="195"/>
      <c r="AF274" s="195"/>
      <c r="AG274" s="195"/>
      <c r="AH274" s="195"/>
      <c r="AI274" s="195"/>
      <c r="AJ274" s="195"/>
      <c r="AK274" s="195"/>
      <c r="AL274" s="195"/>
      <c r="AM274" s="195"/>
      <c r="AN274" s="195"/>
      <c r="AO274" s="195"/>
    </row>
    <row r="275" spans="1:41" x14ac:dyDescent="0.2">
      <c r="A275" s="195"/>
      <c r="B275" s="195"/>
      <c r="C275" s="195"/>
      <c r="D275" s="195"/>
      <c r="E275" s="195"/>
      <c r="F275" s="195"/>
      <c r="G275" s="195"/>
      <c r="H275" s="195"/>
      <c r="I275" s="195"/>
      <c r="J275" s="195"/>
      <c r="K275" s="195"/>
      <c r="L275" s="195"/>
      <c r="M275" s="195"/>
      <c r="N275" s="195"/>
      <c r="O275" s="195"/>
      <c r="P275" s="195"/>
      <c r="Q275" s="195"/>
      <c r="R275" s="195"/>
      <c r="S275" s="195"/>
      <c r="T275" s="195"/>
      <c r="U275" s="195"/>
      <c r="V275" s="195"/>
      <c r="W275" s="195"/>
      <c r="X275" s="195"/>
      <c r="Y275" s="195"/>
      <c r="Z275" s="195"/>
      <c r="AA275" s="195"/>
      <c r="AB275" s="195"/>
      <c r="AC275" s="195"/>
      <c r="AD275" s="195"/>
      <c r="AE275" s="195"/>
      <c r="AF275" s="195"/>
      <c r="AG275" s="195"/>
      <c r="AH275" s="195"/>
      <c r="AI275" s="195"/>
      <c r="AJ275" s="195"/>
      <c r="AK275" s="195"/>
      <c r="AL275" s="195"/>
      <c r="AM275" s="195"/>
      <c r="AN275" s="195"/>
      <c r="AO275" s="195"/>
    </row>
    <row r="276" spans="1:41" x14ac:dyDescent="0.2">
      <c r="A276" s="195"/>
      <c r="B276" s="195"/>
      <c r="C276" s="195"/>
      <c r="D276" s="195"/>
      <c r="E276" s="195"/>
      <c r="F276" s="195"/>
      <c r="G276" s="195"/>
      <c r="H276" s="195"/>
      <c r="I276" s="195"/>
      <c r="J276" s="195"/>
      <c r="K276" s="195"/>
      <c r="L276" s="195"/>
      <c r="M276" s="195"/>
      <c r="N276" s="195"/>
      <c r="O276" s="195"/>
      <c r="P276" s="195"/>
      <c r="Q276" s="195"/>
      <c r="R276" s="195"/>
      <c r="S276" s="195"/>
      <c r="T276" s="195"/>
      <c r="U276" s="195"/>
      <c r="V276" s="195"/>
      <c r="W276" s="195"/>
      <c r="X276" s="195"/>
      <c r="Y276" s="195"/>
      <c r="Z276" s="195"/>
      <c r="AA276" s="195"/>
      <c r="AB276" s="195"/>
      <c r="AC276" s="195"/>
      <c r="AD276" s="195"/>
      <c r="AE276" s="195"/>
      <c r="AF276" s="195"/>
      <c r="AG276" s="195"/>
      <c r="AH276" s="195"/>
      <c r="AI276" s="195"/>
      <c r="AJ276" s="195"/>
      <c r="AK276" s="195"/>
      <c r="AL276" s="195"/>
      <c r="AM276" s="195"/>
      <c r="AN276" s="195"/>
      <c r="AO276" s="195"/>
    </row>
    <row r="277" spans="1:41" x14ac:dyDescent="0.2">
      <c r="A277" s="195"/>
      <c r="B277" s="195"/>
      <c r="C277" s="195"/>
      <c r="D277" s="195"/>
      <c r="E277" s="195"/>
      <c r="F277" s="195"/>
      <c r="G277" s="195"/>
      <c r="H277" s="195"/>
      <c r="I277" s="195"/>
      <c r="J277" s="195"/>
      <c r="K277" s="195"/>
      <c r="L277" s="195"/>
      <c r="M277" s="195"/>
      <c r="N277" s="195"/>
      <c r="O277" s="195"/>
      <c r="P277" s="195"/>
      <c r="Q277" s="195"/>
      <c r="R277" s="195"/>
      <c r="S277" s="195"/>
      <c r="T277" s="195"/>
      <c r="U277" s="195"/>
      <c r="V277" s="195"/>
      <c r="W277" s="195"/>
      <c r="X277" s="195"/>
      <c r="Y277" s="195"/>
      <c r="Z277" s="195"/>
      <c r="AA277" s="195"/>
      <c r="AB277" s="195"/>
      <c r="AC277" s="195"/>
      <c r="AD277" s="195"/>
      <c r="AE277" s="195"/>
      <c r="AF277" s="195"/>
      <c r="AG277" s="195"/>
      <c r="AH277" s="195"/>
      <c r="AI277" s="195"/>
      <c r="AJ277" s="195"/>
      <c r="AK277" s="195"/>
      <c r="AL277" s="195"/>
      <c r="AM277" s="195"/>
      <c r="AN277" s="195"/>
      <c r="AO277" s="195"/>
    </row>
    <row r="278" spans="1:41" x14ac:dyDescent="0.2">
      <c r="A278" s="195"/>
      <c r="B278" s="195"/>
      <c r="C278" s="195"/>
      <c r="D278" s="195"/>
      <c r="E278" s="195"/>
      <c r="F278" s="195"/>
      <c r="G278" s="195"/>
      <c r="H278" s="195"/>
      <c r="I278" s="195"/>
      <c r="J278" s="195"/>
      <c r="K278" s="195"/>
      <c r="L278" s="195"/>
      <c r="M278" s="195"/>
      <c r="N278" s="195"/>
      <c r="O278" s="195"/>
      <c r="P278" s="195"/>
      <c r="Q278" s="195"/>
      <c r="R278" s="195"/>
      <c r="S278" s="195"/>
      <c r="T278" s="195"/>
      <c r="U278" s="195"/>
      <c r="V278" s="195"/>
      <c r="W278" s="195"/>
      <c r="X278" s="195"/>
      <c r="Y278" s="195"/>
      <c r="Z278" s="195"/>
      <c r="AA278" s="195"/>
      <c r="AB278" s="195"/>
      <c r="AC278" s="195"/>
      <c r="AD278" s="195"/>
      <c r="AE278" s="195"/>
      <c r="AF278" s="195"/>
      <c r="AG278" s="195"/>
      <c r="AH278" s="195"/>
      <c r="AI278" s="195"/>
      <c r="AJ278" s="195"/>
      <c r="AK278" s="195"/>
      <c r="AL278" s="195"/>
      <c r="AM278" s="195"/>
      <c r="AN278" s="195"/>
      <c r="AO278" s="195"/>
    </row>
    <row r="279" spans="1:41" x14ac:dyDescent="0.2">
      <c r="A279" s="195"/>
      <c r="B279" s="195"/>
      <c r="C279" s="195"/>
      <c r="D279" s="195"/>
      <c r="E279" s="195"/>
      <c r="F279" s="195"/>
      <c r="G279" s="195"/>
      <c r="H279" s="195"/>
      <c r="I279" s="195"/>
      <c r="J279" s="195"/>
      <c r="K279" s="195"/>
      <c r="L279" s="195"/>
      <c r="M279" s="195"/>
      <c r="N279" s="195"/>
      <c r="O279" s="195"/>
      <c r="P279" s="195"/>
      <c r="Q279" s="195"/>
      <c r="R279" s="195"/>
      <c r="S279" s="195"/>
      <c r="T279" s="195"/>
      <c r="U279" s="195"/>
      <c r="V279" s="195"/>
      <c r="W279" s="195"/>
      <c r="X279" s="195"/>
      <c r="Y279" s="195"/>
      <c r="Z279" s="195"/>
      <c r="AA279" s="195"/>
      <c r="AB279" s="195"/>
      <c r="AC279" s="195"/>
      <c r="AD279" s="195"/>
      <c r="AE279" s="195"/>
      <c r="AF279" s="195"/>
      <c r="AG279" s="195"/>
      <c r="AH279" s="195"/>
      <c r="AI279" s="195"/>
      <c r="AJ279" s="195"/>
      <c r="AK279" s="195"/>
      <c r="AL279" s="195"/>
      <c r="AM279" s="195"/>
      <c r="AN279" s="195"/>
      <c r="AO279" s="195"/>
    </row>
    <row r="280" spans="1:41" x14ac:dyDescent="0.2">
      <c r="A280" s="195"/>
      <c r="B280" s="195"/>
      <c r="C280" s="195"/>
      <c r="D280" s="195"/>
      <c r="E280" s="195"/>
      <c r="F280" s="195"/>
      <c r="G280" s="195"/>
      <c r="H280" s="195"/>
      <c r="I280" s="195"/>
      <c r="J280" s="195"/>
      <c r="K280" s="195"/>
      <c r="L280" s="195"/>
      <c r="M280" s="195"/>
      <c r="N280" s="195"/>
      <c r="O280" s="195"/>
      <c r="P280" s="195"/>
      <c r="Q280" s="195"/>
      <c r="R280" s="195"/>
      <c r="S280" s="195"/>
      <c r="T280" s="195"/>
      <c r="U280" s="195"/>
      <c r="V280" s="195"/>
      <c r="W280" s="195"/>
      <c r="X280" s="195"/>
      <c r="Y280" s="195"/>
      <c r="Z280" s="195"/>
      <c r="AA280" s="195"/>
      <c r="AB280" s="195"/>
      <c r="AC280" s="195"/>
      <c r="AD280" s="195"/>
      <c r="AE280" s="195"/>
      <c r="AF280" s="195"/>
      <c r="AG280" s="195"/>
      <c r="AH280" s="195"/>
      <c r="AI280" s="195"/>
      <c r="AJ280" s="195"/>
      <c r="AK280" s="195"/>
      <c r="AL280" s="195"/>
      <c r="AM280" s="195"/>
      <c r="AN280" s="195"/>
      <c r="AO280" s="195"/>
    </row>
    <row r="281" spans="1:41" x14ac:dyDescent="0.2">
      <c r="A281" s="195"/>
      <c r="B281" s="195"/>
      <c r="C281" s="195"/>
      <c r="D281" s="195"/>
      <c r="E281" s="195"/>
      <c r="F281" s="195"/>
      <c r="G281" s="195"/>
      <c r="H281" s="195"/>
      <c r="I281" s="195"/>
      <c r="J281" s="195"/>
      <c r="K281" s="195"/>
      <c r="L281" s="195"/>
      <c r="M281" s="195"/>
      <c r="N281" s="195"/>
      <c r="O281" s="195"/>
      <c r="P281" s="195"/>
      <c r="Q281" s="195"/>
      <c r="R281" s="195"/>
      <c r="S281" s="195"/>
      <c r="T281" s="195"/>
      <c r="U281" s="195"/>
      <c r="V281" s="195"/>
      <c r="W281" s="195"/>
      <c r="X281" s="195"/>
      <c r="Y281" s="195"/>
      <c r="Z281" s="195"/>
      <c r="AA281" s="195"/>
      <c r="AB281" s="195"/>
      <c r="AC281" s="195"/>
      <c r="AD281" s="195"/>
      <c r="AE281" s="195"/>
      <c r="AF281" s="195"/>
      <c r="AG281" s="195"/>
      <c r="AH281" s="195"/>
      <c r="AI281" s="195"/>
      <c r="AJ281" s="195"/>
      <c r="AK281" s="195"/>
      <c r="AL281" s="195"/>
      <c r="AM281" s="195"/>
      <c r="AN281" s="195"/>
      <c r="AO281" s="195"/>
    </row>
    <row r="282" spans="1:41" x14ac:dyDescent="0.2">
      <c r="A282" s="195"/>
      <c r="B282" s="195"/>
      <c r="C282" s="195"/>
      <c r="D282" s="195"/>
      <c r="E282" s="195"/>
      <c r="F282" s="195"/>
      <c r="G282" s="195"/>
      <c r="H282" s="195"/>
      <c r="I282" s="195"/>
      <c r="J282" s="195"/>
      <c r="K282" s="195"/>
      <c r="L282" s="195"/>
      <c r="M282" s="195"/>
      <c r="N282" s="195"/>
      <c r="O282" s="195"/>
      <c r="P282" s="195"/>
      <c r="Q282" s="195"/>
      <c r="R282" s="195"/>
      <c r="S282" s="195"/>
      <c r="T282" s="195"/>
      <c r="U282" s="195"/>
      <c r="V282" s="195"/>
      <c r="W282" s="195"/>
      <c r="X282" s="195"/>
      <c r="Y282" s="195"/>
      <c r="Z282" s="195"/>
      <c r="AA282" s="195"/>
      <c r="AB282" s="195"/>
      <c r="AC282" s="195"/>
      <c r="AD282" s="195"/>
      <c r="AE282" s="195"/>
      <c r="AF282" s="195"/>
      <c r="AG282" s="195"/>
      <c r="AH282" s="195"/>
      <c r="AI282" s="195"/>
      <c r="AJ282" s="195"/>
      <c r="AK282" s="195"/>
      <c r="AL282" s="195"/>
      <c r="AM282" s="195"/>
      <c r="AN282" s="195"/>
      <c r="AO282" s="195"/>
    </row>
    <row r="283" spans="1:41" x14ac:dyDescent="0.2">
      <c r="A283" s="195"/>
      <c r="B283" s="195"/>
      <c r="C283" s="195"/>
      <c r="D283" s="195"/>
      <c r="E283" s="195"/>
      <c r="F283" s="195"/>
      <c r="G283" s="195"/>
      <c r="H283" s="195"/>
      <c r="I283" s="195"/>
      <c r="J283" s="195"/>
      <c r="K283" s="195"/>
      <c r="L283" s="195"/>
      <c r="M283" s="195"/>
      <c r="N283" s="195"/>
      <c r="O283" s="195"/>
      <c r="P283" s="195"/>
      <c r="Q283" s="195"/>
      <c r="R283" s="195"/>
      <c r="S283" s="195"/>
      <c r="T283" s="195"/>
      <c r="U283" s="195"/>
      <c r="V283" s="195"/>
      <c r="W283" s="195"/>
      <c r="X283" s="195"/>
      <c r="Y283" s="195"/>
      <c r="Z283" s="195"/>
      <c r="AA283" s="195"/>
      <c r="AB283" s="195"/>
      <c r="AC283" s="195"/>
      <c r="AD283" s="195"/>
      <c r="AE283" s="195"/>
      <c r="AF283" s="195"/>
      <c r="AG283" s="195"/>
      <c r="AH283" s="195"/>
      <c r="AI283" s="195"/>
      <c r="AJ283" s="195"/>
      <c r="AK283" s="195"/>
      <c r="AL283" s="195"/>
      <c r="AM283" s="195"/>
      <c r="AN283" s="195"/>
      <c r="AO283" s="195"/>
    </row>
    <row r="284" spans="1:41" x14ac:dyDescent="0.2">
      <c r="A284" s="195"/>
      <c r="B284" s="195"/>
      <c r="C284" s="195"/>
      <c r="D284" s="195"/>
      <c r="E284" s="195"/>
      <c r="F284" s="195"/>
      <c r="G284" s="195"/>
      <c r="H284" s="195"/>
      <c r="I284" s="195"/>
      <c r="J284" s="195"/>
      <c r="K284" s="195"/>
      <c r="L284" s="195"/>
      <c r="M284" s="195"/>
      <c r="N284" s="195"/>
      <c r="O284" s="195"/>
      <c r="P284" s="195"/>
      <c r="Q284" s="195"/>
      <c r="R284" s="195"/>
      <c r="S284" s="195"/>
      <c r="T284" s="195"/>
      <c r="U284" s="195"/>
      <c r="V284" s="195"/>
      <c r="W284" s="195"/>
      <c r="X284" s="195"/>
      <c r="Y284" s="195"/>
      <c r="Z284" s="195"/>
      <c r="AA284" s="195"/>
      <c r="AB284" s="195"/>
      <c r="AC284" s="195"/>
      <c r="AD284" s="195"/>
      <c r="AE284" s="195"/>
      <c r="AF284" s="195"/>
      <c r="AG284" s="195"/>
      <c r="AH284" s="195"/>
      <c r="AI284" s="195"/>
      <c r="AJ284" s="195"/>
      <c r="AK284" s="195"/>
      <c r="AL284" s="195"/>
      <c r="AM284" s="195"/>
      <c r="AN284" s="195"/>
      <c r="AO284" s="195"/>
    </row>
    <row r="285" spans="1:41" x14ac:dyDescent="0.2">
      <c r="A285" s="195"/>
      <c r="B285" s="195"/>
      <c r="C285" s="195"/>
      <c r="D285" s="195"/>
      <c r="E285" s="195"/>
      <c r="F285" s="195"/>
      <c r="G285" s="195"/>
      <c r="H285" s="195"/>
      <c r="I285" s="195"/>
      <c r="J285" s="195"/>
      <c r="K285" s="195"/>
      <c r="L285" s="195"/>
      <c r="M285" s="195"/>
      <c r="N285" s="195"/>
      <c r="O285" s="195"/>
      <c r="P285" s="195"/>
      <c r="Q285" s="195"/>
      <c r="R285" s="195"/>
      <c r="S285" s="195"/>
      <c r="T285" s="195"/>
      <c r="U285" s="195"/>
      <c r="V285" s="195"/>
      <c r="W285" s="195"/>
      <c r="X285" s="195"/>
      <c r="Y285" s="195"/>
      <c r="Z285" s="195"/>
      <c r="AA285" s="195"/>
      <c r="AB285" s="195"/>
      <c r="AC285" s="195"/>
      <c r="AD285" s="195"/>
      <c r="AE285" s="195"/>
      <c r="AF285" s="195"/>
      <c r="AG285" s="195"/>
      <c r="AH285" s="195"/>
      <c r="AI285" s="195"/>
      <c r="AJ285" s="195"/>
      <c r="AK285" s="195"/>
      <c r="AL285" s="195"/>
      <c r="AM285" s="195"/>
      <c r="AN285" s="195"/>
      <c r="AO285" s="195"/>
    </row>
    <row r="286" spans="1:41" x14ac:dyDescent="0.2">
      <c r="A286" s="195"/>
      <c r="B286" s="195"/>
      <c r="C286" s="195"/>
      <c r="D286" s="195"/>
      <c r="E286" s="195"/>
      <c r="F286" s="195"/>
      <c r="G286" s="195"/>
      <c r="H286" s="195"/>
      <c r="I286" s="195"/>
      <c r="J286" s="195"/>
      <c r="K286" s="195"/>
      <c r="L286" s="195"/>
      <c r="M286" s="195"/>
      <c r="N286" s="195"/>
      <c r="O286" s="195"/>
      <c r="P286" s="195"/>
      <c r="Q286" s="195"/>
      <c r="R286" s="195"/>
      <c r="S286" s="195"/>
      <c r="T286" s="195"/>
      <c r="U286" s="195"/>
      <c r="V286" s="195"/>
      <c r="W286" s="195"/>
      <c r="X286" s="195"/>
      <c r="Y286" s="195"/>
      <c r="Z286" s="195"/>
      <c r="AA286" s="195"/>
      <c r="AB286" s="195"/>
      <c r="AC286" s="195"/>
      <c r="AD286" s="195"/>
      <c r="AE286" s="195"/>
      <c r="AF286" s="195"/>
      <c r="AG286" s="195"/>
      <c r="AH286" s="195"/>
      <c r="AI286" s="195"/>
      <c r="AJ286" s="195"/>
      <c r="AK286" s="195"/>
      <c r="AL286" s="195"/>
      <c r="AM286" s="195"/>
      <c r="AN286" s="195"/>
      <c r="AO286" s="195"/>
    </row>
    <row r="287" spans="1:41" x14ac:dyDescent="0.2">
      <c r="A287" s="195"/>
      <c r="B287" s="195"/>
      <c r="C287" s="195"/>
      <c r="D287" s="195"/>
      <c r="E287" s="195"/>
      <c r="F287" s="195"/>
      <c r="G287" s="195"/>
      <c r="H287" s="195"/>
      <c r="I287" s="195"/>
      <c r="J287" s="195"/>
      <c r="K287" s="195"/>
      <c r="L287" s="195"/>
      <c r="M287" s="195"/>
      <c r="N287" s="195"/>
      <c r="O287" s="195"/>
      <c r="P287" s="195"/>
      <c r="Q287" s="195"/>
      <c r="R287" s="195"/>
      <c r="S287" s="195"/>
      <c r="T287" s="195"/>
      <c r="U287" s="195"/>
      <c r="V287" s="195"/>
      <c r="W287" s="195"/>
      <c r="X287" s="195"/>
      <c r="Y287" s="195"/>
      <c r="Z287" s="195"/>
      <c r="AA287" s="195"/>
      <c r="AB287" s="195"/>
      <c r="AC287" s="195"/>
      <c r="AD287" s="195"/>
      <c r="AE287" s="195"/>
      <c r="AF287" s="195"/>
      <c r="AG287" s="195"/>
      <c r="AH287" s="195"/>
      <c r="AI287" s="195"/>
      <c r="AJ287" s="195"/>
      <c r="AK287" s="195"/>
      <c r="AL287" s="195"/>
      <c r="AM287" s="195"/>
      <c r="AN287" s="195"/>
      <c r="AO287" s="195"/>
    </row>
    <row r="288" spans="1:41" x14ac:dyDescent="0.2">
      <c r="A288" s="195"/>
      <c r="B288" s="195"/>
      <c r="C288" s="195"/>
      <c r="D288" s="195"/>
      <c r="E288" s="195"/>
      <c r="F288" s="195"/>
      <c r="G288" s="195"/>
      <c r="H288" s="195"/>
      <c r="I288" s="195"/>
      <c r="J288" s="195"/>
      <c r="K288" s="195"/>
      <c r="L288" s="195"/>
      <c r="M288" s="195"/>
      <c r="N288" s="195"/>
      <c r="O288" s="195"/>
      <c r="P288" s="195"/>
      <c r="Q288" s="195"/>
      <c r="R288" s="195"/>
      <c r="S288" s="195"/>
      <c r="T288" s="195"/>
      <c r="U288" s="195"/>
      <c r="V288" s="195"/>
      <c r="W288" s="195"/>
      <c r="X288" s="195"/>
      <c r="Y288" s="195"/>
      <c r="Z288" s="195"/>
      <c r="AA288" s="195"/>
      <c r="AB288" s="195"/>
      <c r="AC288" s="195"/>
      <c r="AD288" s="195"/>
      <c r="AE288" s="195"/>
      <c r="AF288" s="195"/>
      <c r="AG288" s="195"/>
      <c r="AH288" s="195"/>
      <c r="AI288" s="195"/>
      <c r="AJ288" s="195"/>
      <c r="AK288" s="195"/>
      <c r="AL288" s="195"/>
      <c r="AM288" s="195"/>
      <c r="AN288" s="195"/>
      <c r="AO288" s="195"/>
    </row>
    <row r="289" spans="1:41" x14ac:dyDescent="0.2">
      <c r="A289" s="195"/>
      <c r="B289" s="195"/>
      <c r="C289" s="195"/>
      <c r="D289" s="195"/>
      <c r="E289" s="195"/>
      <c r="F289" s="195"/>
      <c r="G289" s="195"/>
      <c r="H289" s="195"/>
      <c r="I289" s="195"/>
      <c r="J289" s="195"/>
      <c r="K289" s="195"/>
      <c r="L289" s="195"/>
      <c r="M289" s="195"/>
      <c r="N289" s="195"/>
      <c r="O289" s="195"/>
      <c r="P289" s="195"/>
      <c r="Q289" s="195"/>
      <c r="R289" s="195"/>
      <c r="S289" s="195"/>
      <c r="T289" s="195"/>
      <c r="U289" s="195"/>
      <c r="V289" s="195"/>
      <c r="W289" s="195"/>
      <c r="X289" s="195"/>
      <c r="Y289" s="195"/>
      <c r="Z289" s="195"/>
      <c r="AA289" s="195"/>
      <c r="AB289" s="195"/>
      <c r="AC289" s="195"/>
      <c r="AD289" s="195"/>
      <c r="AE289" s="195"/>
      <c r="AF289" s="195"/>
      <c r="AG289" s="195"/>
      <c r="AH289" s="195"/>
      <c r="AI289" s="195"/>
      <c r="AJ289" s="195"/>
      <c r="AK289" s="195"/>
      <c r="AL289" s="195"/>
      <c r="AM289" s="195"/>
      <c r="AN289" s="195"/>
      <c r="AO289" s="195"/>
    </row>
    <row r="290" spans="1:41" x14ac:dyDescent="0.2">
      <c r="A290" s="195"/>
      <c r="B290" s="195"/>
      <c r="C290" s="195"/>
      <c r="D290" s="195"/>
      <c r="E290" s="195"/>
      <c r="F290" s="195"/>
      <c r="G290" s="195"/>
      <c r="H290" s="195"/>
      <c r="I290" s="195"/>
      <c r="J290" s="195"/>
      <c r="K290" s="195"/>
      <c r="L290" s="195"/>
      <c r="M290" s="195"/>
      <c r="N290" s="195"/>
      <c r="O290" s="195"/>
      <c r="P290" s="195"/>
      <c r="Q290" s="195"/>
      <c r="R290" s="195"/>
      <c r="S290" s="195"/>
      <c r="T290" s="195"/>
      <c r="U290" s="195"/>
      <c r="V290" s="195"/>
      <c r="W290" s="195"/>
      <c r="X290" s="195"/>
      <c r="Y290" s="195"/>
      <c r="Z290" s="195"/>
      <c r="AA290" s="195"/>
      <c r="AB290" s="195"/>
      <c r="AC290" s="195"/>
      <c r="AD290" s="195"/>
      <c r="AE290" s="195"/>
      <c r="AF290" s="195"/>
      <c r="AG290" s="195"/>
      <c r="AH290" s="195"/>
      <c r="AI290" s="195"/>
      <c r="AJ290" s="195"/>
      <c r="AK290" s="195"/>
      <c r="AL290" s="195"/>
      <c r="AM290" s="195"/>
      <c r="AN290" s="195"/>
      <c r="AO290" s="195"/>
    </row>
    <row r="291" spans="1:41" x14ac:dyDescent="0.2">
      <c r="A291" s="195"/>
      <c r="B291" s="195"/>
      <c r="C291" s="195"/>
      <c r="D291" s="195"/>
      <c r="E291" s="195"/>
      <c r="F291" s="195"/>
      <c r="G291" s="195"/>
      <c r="H291" s="195"/>
      <c r="I291" s="195"/>
      <c r="J291" s="195"/>
      <c r="K291" s="195"/>
      <c r="L291" s="195"/>
      <c r="M291" s="195"/>
      <c r="N291" s="195"/>
      <c r="O291" s="195"/>
      <c r="P291" s="195"/>
      <c r="Q291" s="195"/>
      <c r="R291" s="195"/>
      <c r="S291" s="195"/>
      <c r="T291" s="195"/>
      <c r="U291" s="195"/>
      <c r="V291" s="195"/>
      <c r="W291" s="195"/>
      <c r="X291" s="195"/>
      <c r="Y291" s="195"/>
      <c r="Z291" s="195"/>
      <c r="AA291" s="195"/>
      <c r="AB291" s="195"/>
      <c r="AC291" s="195"/>
      <c r="AD291" s="195"/>
      <c r="AE291" s="195"/>
      <c r="AF291" s="195"/>
      <c r="AG291" s="195"/>
      <c r="AH291" s="195"/>
      <c r="AI291" s="195"/>
      <c r="AJ291" s="195"/>
      <c r="AK291" s="195"/>
      <c r="AL291" s="195"/>
      <c r="AM291" s="195"/>
      <c r="AN291" s="195"/>
      <c r="AO291" s="195"/>
    </row>
    <row r="292" spans="1:41" x14ac:dyDescent="0.2">
      <c r="A292" s="195"/>
      <c r="B292" s="195"/>
      <c r="C292" s="195"/>
      <c r="D292" s="195"/>
      <c r="E292" s="195"/>
      <c r="F292" s="195"/>
      <c r="G292" s="195"/>
      <c r="H292" s="195"/>
      <c r="I292" s="195"/>
      <c r="J292" s="195"/>
      <c r="K292" s="195"/>
      <c r="L292" s="195"/>
      <c r="M292" s="195"/>
      <c r="N292" s="195"/>
      <c r="O292" s="195"/>
      <c r="P292" s="195"/>
      <c r="Q292" s="195"/>
      <c r="R292" s="195"/>
      <c r="S292" s="195"/>
      <c r="T292" s="195"/>
      <c r="U292" s="195"/>
      <c r="V292" s="195"/>
      <c r="W292" s="195"/>
      <c r="X292" s="195"/>
      <c r="Y292" s="195"/>
      <c r="Z292" s="195"/>
      <c r="AA292" s="195"/>
      <c r="AB292" s="195"/>
      <c r="AC292" s="195"/>
      <c r="AD292" s="195"/>
      <c r="AE292" s="195"/>
      <c r="AF292" s="195"/>
      <c r="AG292" s="195"/>
      <c r="AH292" s="195"/>
      <c r="AI292" s="195"/>
      <c r="AJ292" s="195"/>
      <c r="AK292" s="195"/>
      <c r="AL292" s="195"/>
      <c r="AM292" s="195"/>
      <c r="AN292" s="195"/>
      <c r="AO292" s="195"/>
    </row>
    <row r="293" spans="1:41" x14ac:dyDescent="0.2">
      <c r="A293" s="195"/>
      <c r="B293" s="195"/>
      <c r="C293" s="195"/>
      <c r="D293" s="195"/>
      <c r="E293" s="195"/>
      <c r="F293" s="195"/>
      <c r="G293" s="195"/>
      <c r="H293" s="195"/>
      <c r="I293" s="195"/>
      <c r="J293" s="195"/>
      <c r="K293" s="195"/>
      <c r="L293" s="195"/>
      <c r="M293" s="195"/>
      <c r="N293" s="195"/>
      <c r="O293" s="195"/>
      <c r="P293" s="195"/>
      <c r="Q293" s="195"/>
      <c r="R293" s="195"/>
      <c r="S293" s="195"/>
      <c r="T293" s="195"/>
      <c r="U293" s="195"/>
      <c r="V293" s="195"/>
      <c r="W293" s="195"/>
      <c r="X293" s="195"/>
      <c r="Y293" s="195"/>
      <c r="Z293" s="195"/>
      <c r="AA293" s="195"/>
      <c r="AB293" s="195"/>
      <c r="AC293" s="195"/>
      <c r="AD293" s="195"/>
      <c r="AE293" s="195"/>
      <c r="AF293" s="195"/>
      <c r="AG293" s="195"/>
      <c r="AH293" s="195"/>
      <c r="AI293" s="195"/>
      <c r="AJ293" s="195"/>
      <c r="AK293" s="195"/>
      <c r="AL293" s="195"/>
      <c r="AM293" s="195"/>
      <c r="AN293" s="195"/>
      <c r="AO293" s="195"/>
    </row>
    <row r="294" spans="1:41" x14ac:dyDescent="0.2">
      <c r="A294" s="195"/>
      <c r="B294" s="195"/>
      <c r="C294" s="195"/>
      <c r="D294" s="195"/>
      <c r="E294" s="195"/>
      <c r="F294" s="195"/>
      <c r="G294" s="195"/>
      <c r="H294" s="195"/>
      <c r="I294" s="195"/>
      <c r="J294" s="195"/>
      <c r="K294" s="195"/>
      <c r="L294" s="195"/>
      <c r="M294" s="195"/>
      <c r="N294" s="195"/>
      <c r="O294" s="195"/>
      <c r="P294" s="195"/>
      <c r="Q294" s="195"/>
      <c r="R294" s="195"/>
      <c r="S294" s="195"/>
      <c r="T294" s="195"/>
      <c r="U294" s="195"/>
      <c r="V294" s="195"/>
      <c r="W294" s="195"/>
      <c r="X294" s="195"/>
      <c r="Y294" s="195"/>
      <c r="Z294" s="195"/>
      <c r="AA294" s="195"/>
      <c r="AB294" s="195"/>
      <c r="AC294" s="195"/>
      <c r="AD294" s="195"/>
      <c r="AE294" s="195"/>
      <c r="AF294" s="195"/>
      <c r="AG294" s="195"/>
      <c r="AH294" s="195"/>
      <c r="AI294" s="195"/>
      <c r="AJ294" s="195"/>
      <c r="AK294" s="195"/>
      <c r="AL294" s="195"/>
      <c r="AM294" s="195"/>
      <c r="AN294" s="195"/>
      <c r="AO294" s="195"/>
    </row>
    <row r="295" spans="1:41" x14ac:dyDescent="0.2">
      <c r="A295" s="195"/>
      <c r="B295" s="195"/>
      <c r="C295" s="195"/>
      <c r="D295" s="195"/>
      <c r="E295" s="195"/>
      <c r="F295" s="195"/>
      <c r="G295" s="195"/>
      <c r="H295" s="195"/>
      <c r="I295" s="195"/>
      <c r="J295" s="195"/>
      <c r="K295" s="195"/>
      <c r="L295" s="195"/>
      <c r="M295" s="195"/>
      <c r="N295" s="195"/>
      <c r="O295" s="195"/>
      <c r="P295" s="195"/>
      <c r="Q295" s="195"/>
      <c r="R295" s="195"/>
      <c r="S295" s="195"/>
      <c r="T295" s="195"/>
      <c r="U295" s="195"/>
      <c r="V295" s="195"/>
      <c r="W295" s="195"/>
      <c r="X295" s="195"/>
      <c r="Y295" s="195"/>
      <c r="Z295" s="195"/>
      <c r="AA295" s="195"/>
      <c r="AB295" s="195"/>
      <c r="AC295" s="195"/>
      <c r="AD295" s="195"/>
      <c r="AE295" s="195"/>
      <c r="AF295" s="195"/>
      <c r="AG295" s="195"/>
      <c r="AH295" s="195"/>
      <c r="AI295" s="195"/>
      <c r="AJ295" s="195"/>
      <c r="AK295" s="195"/>
      <c r="AL295" s="195"/>
      <c r="AM295" s="195"/>
      <c r="AN295" s="195"/>
      <c r="AO295" s="195"/>
    </row>
    <row r="296" spans="1:41" x14ac:dyDescent="0.2">
      <c r="A296" s="195"/>
      <c r="B296" s="195"/>
      <c r="C296" s="195"/>
      <c r="D296" s="195"/>
      <c r="E296" s="195"/>
      <c r="F296" s="195"/>
      <c r="G296" s="195"/>
      <c r="H296" s="195"/>
      <c r="I296" s="195"/>
      <c r="J296" s="195"/>
      <c r="K296" s="195"/>
      <c r="L296" s="195"/>
      <c r="M296" s="195"/>
      <c r="N296" s="195"/>
      <c r="O296" s="195"/>
      <c r="P296" s="195"/>
      <c r="Q296" s="195"/>
      <c r="R296" s="195"/>
      <c r="S296" s="195"/>
      <c r="T296" s="195"/>
      <c r="U296" s="195"/>
      <c r="V296" s="195"/>
      <c r="W296" s="195"/>
      <c r="X296" s="195"/>
      <c r="Y296" s="195"/>
      <c r="Z296" s="195"/>
      <c r="AA296" s="195"/>
      <c r="AB296" s="195"/>
      <c r="AC296" s="195"/>
      <c r="AD296" s="195"/>
      <c r="AE296" s="195"/>
      <c r="AF296" s="195"/>
      <c r="AG296" s="195"/>
      <c r="AH296" s="195"/>
      <c r="AI296" s="195"/>
      <c r="AJ296" s="195"/>
      <c r="AK296" s="195"/>
      <c r="AL296" s="195"/>
      <c r="AM296" s="195"/>
      <c r="AN296" s="195"/>
      <c r="AO296" s="195"/>
    </row>
    <row r="297" spans="1:41" x14ac:dyDescent="0.2">
      <c r="A297" s="195"/>
      <c r="B297" s="195"/>
      <c r="C297" s="195"/>
      <c r="D297" s="195"/>
      <c r="E297" s="195"/>
      <c r="F297" s="195"/>
      <c r="G297" s="195"/>
      <c r="H297" s="195"/>
      <c r="I297" s="195"/>
      <c r="J297" s="195"/>
      <c r="K297" s="195"/>
      <c r="L297" s="195"/>
      <c r="M297" s="195"/>
      <c r="N297" s="195"/>
      <c r="O297" s="195"/>
      <c r="P297" s="195"/>
      <c r="Q297" s="195"/>
      <c r="R297" s="195"/>
      <c r="S297" s="195"/>
      <c r="T297" s="195"/>
      <c r="U297" s="195"/>
      <c r="V297" s="195"/>
      <c r="W297" s="195"/>
      <c r="X297" s="195"/>
      <c r="Y297" s="195"/>
      <c r="Z297" s="195"/>
      <c r="AA297" s="195"/>
      <c r="AB297" s="195"/>
      <c r="AC297" s="195"/>
      <c r="AD297" s="195"/>
      <c r="AE297" s="195"/>
      <c r="AF297" s="195"/>
      <c r="AG297" s="195"/>
      <c r="AH297" s="195"/>
      <c r="AI297" s="195"/>
      <c r="AJ297" s="195"/>
      <c r="AK297" s="195"/>
      <c r="AL297" s="195"/>
      <c r="AM297" s="195"/>
      <c r="AN297" s="195"/>
      <c r="AO297" s="195"/>
    </row>
    <row r="298" spans="1:41" x14ac:dyDescent="0.2">
      <c r="A298" s="195"/>
      <c r="B298" s="195"/>
      <c r="C298" s="195"/>
      <c r="D298" s="195"/>
      <c r="E298" s="195"/>
      <c r="F298" s="195"/>
      <c r="G298" s="195"/>
      <c r="H298" s="195"/>
      <c r="I298" s="195"/>
      <c r="J298" s="195"/>
      <c r="K298" s="195"/>
      <c r="L298" s="195"/>
      <c r="M298" s="195"/>
      <c r="N298" s="195"/>
      <c r="O298" s="195"/>
      <c r="P298" s="195"/>
      <c r="Q298" s="195"/>
      <c r="R298" s="195"/>
      <c r="S298" s="195"/>
      <c r="T298" s="195"/>
      <c r="U298" s="195"/>
      <c r="V298" s="195"/>
      <c r="W298" s="195"/>
      <c r="X298" s="195"/>
      <c r="Y298" s="195"/>
      <c r="Z298" s="195"/>
      <c r="AA298" s="195"/>
      <c r="AB298" s="195"/>
      <c r="AC298" s="195"/>
      <c r="AD298" s="195"/>
      <c r="AE298" s="195"/>
      <c r="AF298" s="195"/>
      <c r="AG298" s="195"/>
      <c r="AH298" s="195"/>
      <c r="AI298" s="195"/>
      <c r="AJ298" s="195"/>
      <c r="AK298" s="195"/>
      <c r="AL298" s="195"/>
      <c r="AM298" s="195"/>
      <c r="AN298" s="195"/>
      <c r="AO298" s="195"/>
    </row>
    <row r="299" spans="1:41" x14ac:dyDescent="0.2">
      <c r="A299" s="195"/>
      <c r="B299" s="195"/>
      <c r="C299" s="195"/>
      <c r="D299" s="195"/>
      <c r="E299" s="195"/>
      <c r="F299" s="195"/>
      <c r="G299" s="195"/>
      <c r="H299" s="195"/>
      <c r="I299" s="195"/>
      <c r="J299" s="195"/>
      <c r="K299" s="195"/>
      <c r="L299" s="195"/>
      <c r="M299" s="195"/>
      <c r="N299" s="195"/>
      <c r="O299" s="195"/>
      <c r="P299" s="195"/>
      <c r="Q299" s="195"/>
      <c r="R299" s="195"/>
      <c r="S299" s="195"/>
      <c r="T299" s="195"/>
      <c r="U299" s="195"/>
      <c r="V299" s="195"/>
      <c r="W299" s="195"/>
      <c r="X299" s="195"/>
      <c r="Y299" s="195"/>
      <c r="Z299" s="195"/>
      <c r="AA299" s="195"/>
      <c r="AB299" s="195"/>
      <c r="AC299" s="195"/>
      <c r="AD299" s="195"/>
      <c r="AE299" s="195"/>
      <c r="AF299" s="195"/>
      <c r="AG299" s="195"/>
      <c r="AH299" s="195"/>
      <c r="AI299" s="195"/>
      <c r="AJ299" s="195"/>
      <c r="AK299" s="195"/>
      <c r="AL299" s="195"/>
      <c r="AM299" s="195"/>
      <c r="AN299" s="195"/>
      <c r="AO299" s="195"/>
    </row>
    <row r="300" spans="1:41" x14ac:dyDescent="0.2">
      <c r="A300" s="195"/>
      <c r="B300" s="195"/>
      <c r="C300" s="195"/>
      <c r="D300" s="195"/>
      <c r="E300" s="195"/>
      <c r="F300" s="195"/>
      <c r="G300" s="195"/>
      <c r="H300" s="195"/>
      <c r="I300" s="195"/>
      <c r="J300" s="195"/>
      <c r="K300" s="195"/>
      <c r="L300" s="195"/>
      <c r="M300" s="195"/>
      <c r="N300" s="195"/>
      <c r="O300" s="195"/>
      <c r="P300" s="195"/>
      <c r="Q300" s="195"/>
      <c r="R300" s="195"/>
      <c r="S300" s="195"/>
      <c r="T300" s="195"/>
      <c r="U300" s="195"/>
      <c r="V300" s="195"/>
      <c r="W300" s="195"/>
      <c r="X300" s="195"/>
      <c r="Y300" s="195"/>
      <c r="Z300" s="195"/>
      <c r="AA300" s="195"/>
      <c r="AB300" s="195"/>
      <c r="AC300" s="195"/>
      <c r="AD300" s="195"/>
      <c r="AE300" s="195"/>
      <c r="AF300" s="195"/>
      <c r="AG300" s="195"/>
      <c r="AH300" s="195"/>
      <c r="AI300" s="195"/>
      <c r="AJ300" s="195"/>
      <c r="AK300" s="195"/>
      <c r="AL300" s="195"/>
      <c r="AM300" s="195"/>
      <c r="AN300" s="195"/>
      <c r="AO300" s="195"/>
    </row>
    <row r="301" spans="1:41" x14ac:dyDescent="0.2">
      <c r="A301" s="195"/>
      <c r="B301" s="195"/>
      <c r="C301" s="195"/>
      <c r="D301" s="195"/>
      <c r="E301" s="195"/>
      <c r="F301" s="195"/>
      <c r="G301" s="195"/>
      <c r="H301" s="195"/>
      <c r="I301" s="195"/>
      <c r="J301" s="195"/>
      <c r="K301" s="195"/>
      <c r="L301" s="195"/>
      <c r="M301" s="195"/>
      <c r="N301" s="195"/>
      <c r="O301" s="195"/>
      <c r="P301" s="195"/>
      <c r="Q301" s="195"/>
      <c r="R301" s="195"/>
      <c r="S301" s="195"/>
      <c r="T301" s="195"/>
      <c r="U301" s="195"/>
      <c r="V301" s="195"/>
      <c r="W301" s="195"/>
      <c r="X301" s="195"/>
      <c r="Y301" s="195"/>
      <c r="Z301" s="195"/>
      <c r="AA301" s="195"/>
      <c r="AB301" s="195"/>
      <c r="AC301" s="195"/>
      <c r="AD301" s="195"/>
      <c r="AE301" s="195"/>
      <c r="AF301" s="195"/>
      <c r="AG301" s="195"/>
      <c r="AH301" s="195"/>
      <c r="AI301" s="195"/>
      <c r="AJ301" s="195"/>
      <c r="AK301" s="195"/>
      <c r="AL301" s="195"/>
      <c r="AM301" s="195"/>
      <c r="AN301" s="195"/>
      <c r="AO301" s="195"/>
    </row>
    <row r="302" spans="1:41" x14ac:dyDescent="0.2">
      <c r="A302" s="195"/>
      <c r="B302" s="195"/>
      <c r="C302" s="195"/>
      <c r="D302" s="195"/>
      <c r="E302" s="195"/>
      <c r="F302" s="195"/>
      <c r="G302" s="195"/>
      <c r="H302" s="195"/>
      <c r="I302" s="195"/>
      <c r="J302" s="195"/>
      <c r="K302" s="195"/>
      <c r="L302" s="195"/>
      <c r="M302" s="195"/>
      <c r="N302" s="195"/>
      <c r="O302" s="195"/>
      <c r="P302" s="195"/>
      <c r="Q302" s="195"/>
      <c r="R302" s="195"/>
      <c r="S302" s="195"/>
      <c r="T302" s="195"/>
      <c r="U302" s="195"/>
      <c r="V302" s="195"/>
      <c r="W302" s="195"/>
      <c r="X302" s="195"/>
      <c r="Y302" s="195"/>
      <c r="Z302" s="195"/>
      <c r="AA302" s="195"/>
      <c r="AB302" s="195"/>
      <c r="AC302" s="195"/>
      <c r="AD302" s="195"/>
      <c r="AE302" s="195"/>
      <c r="AF302" s="195"/>
      <c r="AG302" s="195"/>
      <c r="AH302" s="195"/>
      <c r="AI302" s="195"/>
      <c r="AJ302" s="195"/>
      <c r="AK302" s="195"/>
      <c r="AL302" s="195"/>
      <c r="AM302" s="195"/>
      <c r="AN302" s="195"/>
      <c r="AO302" s="195"/>
    </row>
    <row r="303" spans="1:41" x14ac:dyDescent="0.2">
      <c r="A303" s="195"/>
      <c r="B303" s="195"/>
      <c r="C303" s="195"/>
      <c r="D303" s="195"/>
      <c r="E303" s="195"/>
      <c r="F303" s="195"/>
      <c r="G303" s="195"/>
      <c r="H303" s="195"/>
      <c r="I303" s="195"/>
      <c r="J303" s="195"/>
      <c r="K303" s="195"/>
      <c r="L303" s="195"/>
      <c r="M303" s="195"/>
      <c r="N303" s="195"/>
      <c r="O303" s="195"/>
      <c r="P303" s="195"/>
      <c r="Q303" s="195"/>
      <c r="R303" s="195"/>
      <c r="S303" s="195"/>
      <c r="T303" s="195"/>
      <c r="U303" s="195"/>
      <c r="V303" s="195"/>
      <c r="W303" s="195"/>
      <c r="X303" s="195"/>
      <c r="Y303" s="195"/>
      <c r="Z303" s="195"/>
      <c r="AA303" s="195"/>
      <c r="AB303" s="195"/>
      <c r="AC303" s="195"/>
      <c r="AD303" s="195"/>
      <c r="AE303" s="195"/>
      <c r="AF303" s="195"/>
      <c r="AG303" s="195"/>
      <c r="AH303" s="195"/>
      <c r="AI303" s="195"/>
      <c r="AJ303" s="195"/>
      <c r="AK303" s="195"/>
      <c r="AL303" s="195"/>
      <c r="AM303" s="195"/>
      <c r="AN303" s="195"/>
      <c r="AO303" s="195"/>
    </row>
    <row r="304" spans="1:41" x14ac:dyDescent="0.2">
      <c r="A304" s="195"/>
      <c r="B304" s="195"/>
      <c r="C304" s="195"/>
      <c r="D304" s="195"/>
      <c r="E304" s="195"/>
      <c r="F304" s="195"/>
      <c r="G304" s="195"/>
      <c r="H304" s="195"/>
      <c r="I304" s="195"/>
      <c r="J304" s="195"/>
      <c r="K304" s="195"/>
      <c r="L304" s="195"/>
      <c r="M304" s="195"/>
      <c r="N304" s="195"/>
      <c r="O304" s="195"/>
      <c r="P304" s="195"/>
      <c r="Q304" s="195"/>
      <c r="R304" s="195"/>
      <c r="S304" s="195"/>
      <c r="T304" s="195"/>
      <c r="U304" s="195"/>
      <c r="V304" s="195"/>
      <c r="W304" s="195"/>
      <c r="X304" s="195"/>
      <c r="Y304" s="195"/>
      <c r="Z304" s="195"/>
      <c r="AA304" s="195"/>
      <c r="AB304" s="195"/>
      <c r="AC304" s="195"/>
      <c r="AD304" s="195"/>
      <c r="AE304" s="195"/>
      <c r="AF304" s="195"/>
      <c r="AG304" s="195"/>
      <c r="AH304" s="195"/>
      <c r="AI304" s="195"/>
      <c r="AJ304" s="195"/>
      <c r="AK304" s="195"/>
      <c r="AL304" s="195"/>
      <c r="AM304" s="195"/>
      <c r="AN304" s="195"/>
      <c r="AO304" s="195"/>
    </row>
    <row r="305" spans="1:41" x14ac:dyDescent="0.2">
      <c r="A305" s="195"/>
      <c r="B305" s="195"/>
      <c r="C305" s="195"/>
      <c r="D305" s="195"/>
      <c r="E305" s="195"/>
      <c r="F305" s="195"/>
      <c r="G305" s="195"/>
      <c r="H305" s="195"/>
      <c r="I305" s="195"/>
      <c r="J305" s="195"/>
      <c r="K305" s="195"/>
      <c r="L305" s="195"/>
      <c r="M305" s="195"/>
      <c r="N305" s="195"/>
      <c r="O305" s="195"/>
      <c r="P305" s="195"/>
      <c r="Q305" s="195"/>
      <c r="R305" s="195"/>
      <c r="S305" s="195"/>
      <c r="T305" s="195"/>
      <c r="U305" s="195"/>
      <c r="V305" s="195"/>
      <c r="W305" s="195"/>
      <c r="X305" s="195"/>
      <c r="Y305" s="195"/>
      <c r="Z305" s="195"/>
      <c r="AA305" s="195"/>
      <c r="AB305" s="195"/>
      <c r="AC305" s="195"/>
      <c r="AD305" s="195"/>
      <c r="AE305" s="195"/>
      <c r="AF305" s="195"/>
      <c r="AG305" s="195"/>
      <c r="AH305" s="195"/>
      <c r="AI305" s="195"/>
      <c r="AJ305" s="195"/>
      <c r="AK305" s="195"/>
      <c r="AL305" s="195"/>
      <c r="AM305" s="195"/>
      <c r="AN305" s="195"/>
      <c r="AO305" s="195"/>
    </row>
    <row r="306" spans="1:41" x14ac:dyDescent="0.2">
      <c r="A306" s="195"/>
      <c r="B306" s="195"/>
      <c r="C306" s="195"/>
      <c r="D306" s="195"/>
      <c r="E306" s="195"/>
      <c r="F306" s="195"/>
      <c r="G306" s="195"/>
      <c r="H306" s="195"/>
      <c r="I306" s="195"/>
      <c r="J306" s="195"/>
      <c r="K306" s="195"/>
      <c r="L306" s="195"/>
      <c r="M306" s="195"/>
      <c r="N306" s="195"/>
      <c r="O306" s="195"/>
      <c r="P306" s="195"/>
      <c r="Q306" s="195"/>
      <c r="R306" s="195"/>
      <c r="S306" s="195"/>
      <c r="T306" s="195"/>
      <c r="U306" s="195"/>
      <c r="V306" s="195"/>
      <c r="W306" s="195"/>
      <c r="X306" s="195"/>
      <c r="Y306" s="195"/>
      <c r="Z306" s="195"/>
      <c r="AA306" s="195"/>
      <c r="AB306" s="195"/>
      <c r="AC306" s="195"/>
      <c r="AD306" s="195"/>
      <c r="AE306" s="195"/>
      <c r="AF306" s="195"/>
      <c r="AG306" s="195"/>
      <c r="AH306" s="195"/>
      <c r="AI306" s="195"/>
      <c r="AJ306" s="195"/>
      <c r="AK306" s="195"/>
      <c r="AL306" s="195"/>
      <c r="AM306" s="195"/>
      <c r="AN306" s="195"/>
      <c r="AO306" s="195"/>
    </row>
    <row r="307" spans="1:41" x14ac:dyDescent="0.2">
      <c r="A307" s="195"/>
      <c r="B307" s="195"/>
      <c r="C307" s="195"/>
      <c r="D307" s="195"/>
      <c r="E307" s="195"/>
      <c r="F307" s="195"/>
      <c r="G307" s="195"/>
      <c r="H307" s="195"/>
      <c r="I307" s="195"/>
      <c r="J307" s="195"/>
      <c r="K307" s="195"/>
      <c r="L307" s="195"/>
      <c r="M307" s="195"/>
      <c r="N307" s="195"/>
      <c r="O307" s="195"/>
      <c r="P307" s="195"/>
      <c r="Q307" s="195"/>
      <c r="R307" s="195"/>
      <c r="S307" s="195"/>
      <c r="T307" s="195"/>
      <c r="U307" s="195"/>
      <c r="V307" s="195"/>
      <c r="W307" s="195"/>
      <c r="X307" s="195"/>
      <c r="Y307" s="195"/>
      <c r="Z307" s="195"/>
      <c r="AA307" s="195"/>
      <c r="AB307" s="195"/>
      <c r="AC307" s="195"/>
      <c r="AD307" s="195"/>
      <c r="AE307" s="195"/>
      <c r="AF307" s="195"/>
      <c r="AG307" s="195"/>
      <c r="AH307" s="195"/>
      <c r="AI307" s="195"/>
      <c r="AJ307" s="195"/>
      <c r="AK307" s="195"/>
      <c r="AL307" s="195"/>
      <c r="AM307" s="195"/>
      <c r="AN307" s="195"/>
      <c r="AO307" s="195"/>
    </row>
    <row r="308" spans="1:41" x14ac:dyDescent="0.2">
      <c r="A308" s="195"/>
      <c r="B308" s="195"/>
      <c r="C308" s="195"/>
      <c r="D308" s="195"/>
      <c r="E308" s="195"/>
      <c r="F308" s="195"/>
      <c r="G308" s="195"/>
      <c r="H308" s="195"/>
      <c r="I308" s="195"/>
      <c r="J308" s="195"/>
      <c r="K308" s="195"/>
      <c r="L308" s="195"/>
      <c r="M308" s="195"/>
      <c r="N308" s="195"/>
      <c r="O308" s="195"/>
      <c r="P308" s="195"/>
      <c r="Q308" s="195"/>
      <c r="R308" s="195"/>
      <c r="S308" s="195"/>
      <c r="T308" s="195"/>
      <c r="U308" s="195"/>
      <c r="V308" s="195"/>
      <c r="W308" s="195"/>
      <c r="X308" s="195"/>
      <c r="Y308" s="195"/>
      <c r="Z308" s="195"/>
      <c r="AA308" s="195"/>
      <c r="AB308" s="195"/>
      <c r="AC308" s="195"/>
      <c r="AD308" s="195"/>
      <c r="AE308" s="195"/>
      <c r="AF308" s="195"/>
      <c r="AG308" s="195"/>
      <c r="AH308" s="195"/>
      <c r="AI308" s="195"/>
      <c r="AJ308" s="195"/>
      <c r="AK308" s="195"/>
      <c r="AL308" s="195"/>
      <c r="AM308" s="195"/>
      <c r="AN308" s="195"/>
      <c r="AO308" s="195"/>
    </row>
    <row r="309" spans="1:41" x14ac:dyDescent="0.2">
      <c r="A309" s="195"/>
      <c r="B309" s="195"/>
      <c r="C309" s="195"/>
      <c r="D309" s="195"/>
      <c r="E309" s="195"/>
      <c r="F309" s="195"/>
      <c r="G309" s="195"/>
      <c r="H309" s="195"/>
      <c r="I309" s="195"/>
      <c r="J309" s="195"/>
      <c r="K309" s="195"/>
      <c r="L309" s="195"/>
      <c r="M309" s="195"/>
      <c r="N309" s="195"/>
      <c r="O309" s="195"/>
      <c r="P309" s="195"/>
      <c r="Q309" s="195"/>
      <c r="R309" s="195"/>
      <c r="S309" s="195"/>
      <c r="T309" s="195"/>
      <c r="U309" s="195"/>
      <c r="V309" s="195"/>
      <c r="W309" s="195"/>
      <c r="X309" s="195"/>
      <c r="Y309" s="195"/>
      <c r="Z309" s="195"/>
      <c r="AA309" s="195"/>
      <c r="AB309" s="195"/>
      <c r="AC309" s="195"/>
      <c r="AD309" s="195"/>
      <c r="AE309" s="195"/>
      <c r="AF309" s="195"/>
      <c r="AG309" s="195"/>
      <c r="AH309" s="195"/>
      <c r="AI309" s="195"/>
      <c r="AJ309" s="195"/>
      <c r="AK309" s="195"/>
      <c r="AL309" s="195"/>
      <c r="AM309" s="195"/>
      <c r="AN309" s="195"/>
      <c r="AO309" s="195"/>
    </row>
    <row r="310" spans="1:41" x14ac:dyDescent="0.2">
      <c r="A310" s="195"/>
      <c r="B310" s="195"/>
      <c r="C310" s="195"/>
      <c r="D310" s="195"/>
      <c r="E310" s="195"/>
      <c r="F310" s="195"/>
      <c r="G310" s="195"/>
      <c r="H310" s="195"/>
      <c r="I310" s="195"/>
      <c r="J310" s="195"/>
      <c r="K310" s="195"/>
      <c r="L310" s="195"/>
      <c r="M310" s="195"/>
      <c r="N310" s="195"/>
      <c r="O310" s="195"/>
      <c r="P310" s="195"/>
      <c r="Q310" s="195"/>
      <c r="R310" s="195"/>
      <c r="S310" s="195"/>
      <c r="T310" s="195"/>
      <c r="U310" s="195"/>
      <c r="V310" s="195"/>
      <c r="W310" s="195"/>
      <c r="X310" s="195"/>
      <c r="Y310" s="195"/>
      <c r="Z310" s="195"/>
      <c r="AA310" s="195"/>
      <c r="AB310" s="195"/>
      <c r="AC310" s="195"/>
      <c r="AD310" s="195"/>
      <c r="AE310" s="195"/>
      <c r="AF310" s="195"/>
      <c r="AG310" s="195"/>
      <c r="AH310" s="195"/>
      <c r="AI310" s="195"/>
      <c r="AJ310" s="195"/>
      <c r="AK310" s="195"/>
      <c r="AL310" s="195"/>
      <c r="AM310" s="195"/>
      <c r="AN310" s="195"/>
      <c r="AO310" s="195"/>
    </row>
    <row r="311" spans="1:41" x14ac:dyDescent="0.2">
      <c r="A311" s="195"/>
      <c r="B311" s="195"/>
      <c r="C311" s="195"/>
      <c r="D311" s="195"/>
      <c r="E311" s="195"/>
      <c r="F311" s="195"/>
      <c r="G311" s="195"/>
      <c r="H311" s="195"/>
      <c r="I311" s="195"/>
      <c r="J311" s="195"/>
      <c r="K311" s="195"/>
      <c r="L311" s="195"/>
      <c r="M311" s="195"/>
      <c r="N311" s="195"/>
      <c r="O311" s="195"/>
      <c r="P311" s="195"/>
      <c r="Q311" s="195"/>
      <c r="R311" s="195"/>
      <c r="S311" s="195"/>
      <c r="T311" s="195"/>
      <c r="U311" s="195"/>
      <c r="V311" s="195"/>
      <c r="W311" s="195"/>
      <c r="X311" s="195"/>
      <c r="Y311" s="195"/>
      <c r="Z311" s="195"/>
      <c r="AA311" s="195"/>
      <c r="AB311" s="195"/>
      <c r="AC311" s="195"/>
      <c r="AD311" s="195"/>
      <c r="AE311" s="195"/>
      <c r="AF311" s="195"/>
      <c r="AG311" s="195"/>
      <c r="AH311" s="195"/>
      <c r="AI311" s="195"/>
      <c r="AJ311" s="195"/>
      <c r="AK311" s="195"/>
      <c r="AL311" s="195"/>
      <c r="AM311" s="195"/>
      <c r="AN311" s="195"/>
      <c r="AO311" s="195"/>
    </row>
    <row r="312" spans="1:41" x14ac:dyDescent="0.2">
      <c r="A312" s="195"/>
      <c r="B312" s="195"/>
      <c r="C312" s="195"/>
      <c r="D312" s="195"/>
      <c r="E312" s="195"/>
      <c r="F312" s="195"/>
      <c r="G312" s="195"/>
      <c r="H312" s="195"/>
      <c r="I312" s="195"/>
      <c r="J312" s="195"/>
      <c r="K312" s="195"/>
      <c r="L312" s="195"/>
      <c r="M312" s="195"/>
      <c r="N312" s="195"/>
      <c r="O312" s="195"/>
      <c r="P312" s="195"/>
      <c r="Q312" s="195"/>
      <c r="R312" s="195"/>
      <c r="S312" s="195"/>
      <c r="T312" s="195"/>
      <c r="U312" s="195"/>
      <c r="V312" s="195"/>
      <c r="W312" s="195"/>
      <c r="X312" s="195"/>
      <c r="Y312" s="195"/>
      <c r="Z312" s="195"/>
      <c r="AA312" s="195"/>
      <c r="AB312" s="195"/>
      <c r="AC312" s="195"/>
      <c r="AD312" s="195"/>
      <c r="AE312" s="195"/>
      <c r="AF312" s="195"/>
      <c r="AG312" s="195"/>
      <c r="AH312" s="195"/>
      <c r="AI312" s="195"/>
      <c r="AJ312" s="195"/>
      <c r="AK312" s="195"/>
      <c r="AL312" s="195"/>
      <c r="AM312" s="195"/>
      <c r="AN312" s="195"/>
      <c r="AO312" s="195"/>
    </row>
    <row r="313" spans="1:41" x14ac:dyDescent="0.2">
      <c r="A313" s="195"/>
      <c r="B313" s="195"/>
      <c r="C313" s="195"/>
      <c r="D313" s="195"/>
      <c r="E313" s="195"/>
      <c r="F313" s="195"/>
      <c r="G313" s="195"/>
      <c r="H313" s="195"/>
      <c r="I313" s="195"/>
      <c r="J313" s="195"/>
      <c r="K313" s="195"/>
      <c r="L313" s="195"/>
      <c r="M313" s="195"/>
      <c r="N313" s="195"/>
      <c r="O313" s="195"/>
      <c r="P313" s="195"/>
      <c r="Q313" s="195"/>
      <c r="R313" s="195"/>
      <c r="S313" s="195"/>
      <c r="T313" s="195"/>
      <c r="U313" s="195"/>
      <c r="V313" s="195"/>
      <c r="W313" s="195"/>
      <c r="X313" s="195"/>
      <c r="Y313" s="195"/>
      <c r="Z313" s="195"/>
      <c r="AA313" s="195"/>
      <c r="AB313" s="195"/>
      <c r="AC313" s="195"/>
      <c r="AD313" s="195"/>
      <c r="AE313" s="195"/>
      <c r="AF313" s="195"/>
      <c r="AG313" s="195"/>
      <c r="AH313" s="195"/>
      <c r="AI313" s="195"/>
      <c r="AJ313" s="195"/>
      <c r="AK313" s="195"/>
      <c r="AL313" s="195"/>
      <c r="AM313" s="195"/>
      <c r="AN313" s="195"/>
      <c r="AO313" s="195"/>
    </row>
    <row r="314" spans="1:41" x14ac:dyDescent="0.2">
      <c r="A314" s="195"/>
      <c r="B314" s="195"/>
      <c r="C314" s="195"/>
      <c r="D314" s="195"/>
      <c r="E314" s="195"/>
      <c r="F314" s="195"/>
      <c r="G314" s="195"/>
      <c r="H314" s="195"/>
      <c r="I314" s="195"/>
      <c r="J314" s="195"/>
      <c r="K314" s="195"/>
      <c r="L314" s="195"/>
      <c r="M314" s="195"/>
      <c r="N314" s="195"/>
      <c r="O314" s="195"/>
      <c r="P314" s="195"/>
      <c r="Q314" s="195"/>
      <c r="R314" s="195"/>
      <c r="S314" s="195"/>
      <c r="T314" s="195"/>
      <c r="U314" s="195"/>
      <c r="V314" s="195"/>
      <c r="W314" s="195"/>
      <c r="X314" s="195"/>
      <c r="Y314" s="195"/>
      <c r="Z314" s="195"/>
      <c r="AA314" s="195"/>
      <c r="AB314" s="195"/>
      <c r="AC314" s="195"/>
      <c r="AD314" s="195"/>
      <c r="AE314" s="195"/>
      <c r="AF314" s="195"/>
      <c r="AG314" s="195"/>
      <c r="AH314" s="195"/>
      <c r="AI314" s="195"/>
      <c r="AJ314" s="195"/>
      <c r="AK314" s="195"/>
      <c r="AL314" s="195"/>
      <c r="AM314" s="195"/>
      <c r="AN314" s="195"/>
      <c r="AO314" s="195"/>
    </row>
    <row r="315" spans="1:41" x14ac:dyDescent="0.2">
      <c r="A315" s="195"/>
      <c r="B315" s="195"/>
      <c r="C315" s="195"/>
      <c r="D315" s="195"/>
      <c r="E315" s="195"/>
      <c r="F315" s="195"/>
      <c r="G315" s="195"/>
      <c r="H315" s="195"/>
      <c r="I315" s="195"/>
      <c r="J315" s="195"/>
      <c r="K315" s="195"/>
      <c r="L315" s="195"/>
      <c r="M315" s="195"/>
      <c r="N315" s="195"/>
      <c r="O315" s="195"/>
      <c r="P315" s="195"/>
      <c r="Q315" s="195"/>
      <c r="R315" s="195"/>
      <c r="S315" s="195"/>
      <c r="T315" s="195"/>
      <c r="U315" s="195"/>
      <c r="V315" s="195"/>
      <c r="W315" s="195"/>
      <c r="X315" s="195"/>
      <c r="Y315" s="195"/>
      <c r="Z315" s="195"/>
      <c r="AA315" s="195"/>
      <c r="AB315" s="195"/>
      <c r="AC315" s="195"/>
      <c r="AD315" s="195"/>
      <c r="AE315" s="195"/>
      <c r="AF315" s="195"/>
      <c r="AG315" s="195"/>
      <c r="AH315" s="195"/>
      <c r="AI315" s="195"/>
      <c r="AJ315" s="195"/>
      <c r="AK315" s="195"/>
      <c r="AL315" s="195"/>
      <c r="AM315" s="195"/>
      <c r="AN315" s="195"/>
      <c r="AO315" s="195"/>
    </row>
    <row r="316" spans="1:41" x14ac:dyDescent="0.2">
      <c r="A316" s="195"/>
      <c r="B316" s="195"/>
      <c r="C316" s="195"/>
      <c r="D316" s="195"/>
      <c r="E316" s="195"/>
      <c r="F316" s="195"/>
      <c r="G316" s="195"/>
      <c r="H316" s="195"/>
      <c r="I316" s="195"/>
      <c r="J316" s="195"/>
      <c r="K316" s="195"/>
      <c r="L316" s="195"/>
      <c r="M316" s="195"/>
      <c r="N316" s="195"/>
      <c r="O316" s="195"/>
      <c r="P316" s="195"/>
      <c r="Q316" s="195"/>
      <c r="R316" s="195"/>
      <c r="S316" s="195"/>
      <c r="T316" s="195"/>
      <c r="U316" s="195"/>
      <c r="V316" s="195"/>
      <c r="W316" s="195"/>
      <c r="X316" s="195"/>
      <c r="Y316" s="195"/>
      <c r="Z316" s="195"/>
      <c r="AA316" s="195"/>
      <c r="AB316" s="195"/>
      <c r="AC316" s="195"/>
      <c r="AD316" s="195"/>
      <c r="AE316" s="195"/>
      <c r="AF316" s="195"/>
      <c r="AG316" s="195"/>
      <c r="AH316" s="195"/>
      <c r="AI316" s="195"/>
      <c r="AJ316" s="195"/>
      <c r="AK316" s="195"/>
      <c r="AL316" s="195"/>
      <c r="AM316" s="195"/>
      <c r="AN316" s="195"/>
      <c r="AO316" s="195"/>
    </row>
    <row r="317" spans="1:41" x14ac:dyDescent="0.2">
      <c r="A317" s="195"/>
      <c r="B317" s="195"/>
      <c r="C317" s="195"/>
      <c r="D317" s="195"/>
      <c r="E317" s="195"/>
      <c r="F317" s="195"/>
      <c r="G317" s="195"/>
      <c r="H317" s="195"/>
      <c r="I317" s="195"/>
      <c r="J317" s="195"/>
      <c r="K317" s="195"/>
      <c r="L317" s="195"/>
      <c r="M317" s="195"/>
      <c r="N317" s="195"/>
      <c r="O317" s="195"/>
      <c r="P317" s="195"/>
      <c r="Q317" s="195"/>
      <c r="R317" s="195"/>
      <c r="S317" s="195"/>
      <c r="T317" s="195"/>
      <c r="U317" s="195"/>
      <c r="V317" s="195"/>
      <c r="W317" s="195"/>
      <c r="X317" s="195"/>
      <c r="Y317" s="195"/>
      <c r="Z317" s="195"/>
      <c r="AA317" s="195"/>
      <c r="AB317" s="195"/>
      <c r="AC317" s="195"/>
      <c r="AD317" s="195"/>
      <c r="AE317" s="195"/>
      <c r="AF317" s="195"/>
      <c r="AG317" s="195"/>
      <c r="AH317" s="195"/>
      <c r="AI317" s="195"/>
      <c r="AJ317" s="195"/>
      <c r="AK317" s="195"/>
      <c r="AL317" s="195"/>
      <c r="AM317" s="195"/>
      <c r="AN317" s="195"/>
      <c r="AO317" s="195"/>
    </row>
    <row r="318" spans="1:41" x14ac:dyDescent="0.2">
      <c r="A318" s="195"/>
      <c r="B318" s="195"/>
      <c r="C318" s="195"/>
      <c r="D318" s="195"/>
      <c r="E318" s="195"/>
      <c r="F318" s="195"/>
      <c r="G318" s="195"/>
      <c r="H318" s="195"/>
      <c r="I318" s="195"/>
      <c r="J318" s="195"/>
      <c r="K318" s="195"/>
      <c r="L318" s="195"/>
      <c r="M318" s="195"/>
      <c r="N318" s="195"/>
      <c r="O318" s="195"/>
      <c r="P318" s="195"/>
      <c r="Q318" s="195"/>
      <c r="R318" s="195"/>
      <c r="S318" s="195"/>
      <c r="T318" s="195"/>
      <c r="U318" s="195"/>
      <c r="V318" s="195"/>
      <c r="W318" s="195"/>
      <c r="X318" s="195"/>
      <c r="Y318" s="195"/>
      <c r="Z318" s="195"/>
      <c r="AA318" s="195"/>
      <c r="AB318" s="195"/>
      <c r="AC318" s="195"/>
      <c r="AD318" s="195"/>
      <c r="AE318" s="195"/>
      <c r="AF318" s="195"/>
      <c r="AG318" s="195"/>
      <c r="AH318" s="195"/>
      <c r="AI318" s="195"/>
      <c r="AJ318" s="195"/>
      <c r="AK318" s="195"/>
      <c r="AL318" s="195"/>
      <c r="AM318" s="195"/>
      <c r="AN318" s="195"/>
      <c r="AO318" s="195"/>
    </row>
    <row r="319" spans="1:41" x14ac:dyDescent="0.2">
      <c r="A319" s="195"/>
      <c r="B319" s="195"/>
      <c r="C319" s="195"/>
      <c r="D319" s="195"/>
      <c r="E319" s="195"/>
      <c r="F319" s="195"/>
      <c r="G319" s="195"/>
      <c r="H319" s="195"/>
      <c r="I319" s="195"/>
      <c r="J319" s="195"/>
      <c r="K319" s="195"/>
      <c r="L319" s="195"/>
      <c r="M319" s="195"/>
      <c r="N319" s="195"/>
      <c r="O319" s="195"/>
      <c r="P319" s="195"/>
      <c r="Q319" s="195"/>
      <c r="R319" s="195"/>
      <c r="S319" s="195"/>
      <c r="T319" s="195"/>
      <c r="U319" s="195"/>
      <c r="V319" s="195"/>
      <c r="W319" s="195"/>
      <c r="X319" s="195"/>
      <c r="Y319" s="195"/>
      <c r="Z319" s="195"/>
      <c r="AA319" s="195"/>
      <c r="AB319" s="195"/>
      <c r="AC319" s="195"/>
      <c r="AD319" s="195"/>
      <c r="AE319" s="195"/>
      <c r="AF319" s="195"/>
      <c r="AG319" s="195"/>
      <c r="AH319" s="195"/>
      <c r="AI319" s="195"/>
      <c r="AJ319" s="195"/>
      <c r="AK319" s="195"/>
      <c r="AL319" s="195"/>
      <c r="AM319" s="195"/>
      <c r="AN319" s="195"/>
      <c r="AO319" s="195"/>
    </row>
    <row r="320" spans="1:41" x14ac:dyDescent="0.2">
      <c r="A320" s="195"/>
      <c r="B320" s="195"/>
      <c r="C320" s="195"/>
      <c r="D320" s="195"/>
      <c r="E320" s="195"/>
      <c r="F320" s="195"/>
      <c r="G320" s="195"/>
      <c r="H320" s="195"/>
      <c r="I320" s="195"/>
      <c r="J320" s="195"/>
      <c r="K320" s="195"/>
      <c r="L320" s="195"/>
      <c r="M320" s="195"/>
      <c r="N320" s="195"/>
      <c r="O320" s="195"/>
      <c r="P320" s="195"/>
      <c r="Q320" s="195"/>
      <c r="R320" s="195"/>
      <c r="S320" s="195"/>
      <c r="T320" s="195"/>
      <c r="U320" s="195"/>
      <c r="V320" s="195"/>
      <c r="W320" s="195"/>
      <c r="X320" s="195"/>
      <c r="Y320" s="195"/>
      <c r="Z320" s="195"/>
      <c r="AA320" s="195"/>
      <c r="AB320" s="195"/>
      <c r="AC320" s="195"/>
      <c r="AD320" s="195"/>
      <c r="AE320" s="195"/>
      <c r="AF320" s="195"/>
      <c r="AG320" s="195"/>
      <c r="AH320" s="195"/>
      <c r="AI320" s="195"/>
      <c r="AJ320" s="195"/>
      <c r="AK320" s="195"/>
      <c r="AL320" s="195"/>
      <c r="AM320" s="195"/>
      <c r="AN320" s="195"/>
      <c r="AO320" s="195"/>
    </row>
    <row r="321" spans="1:41" x14ac:dyDescent="0.2">
      <c r="A321" s="195"/>
      <c r="B321" s="195"/>
      <c r="C321" s="195"/>
      <c r="D321" s="195"/>
      <c r="E321" s="195"/>
      <c r="F321" s="195"/>
      <c r="G321" s="195"/>
      <c r="H321" s="195"/>
      <c r="I321" s="195"/>
      <c r="J321" s="195"/>
      <c r="K321" s="195"/>
      <c r="L321" s="195"/>
      <c r="M321" s="195"/>
      <c r="N321" s="195"/>
      <c r="O321" s="195"/>
      <c r="P321" s="195"/>
      <c r="Q321" s="195"/>
      <c r="R321" s="195"/>
      <c r="S321" s="195"/>
      <c r="T321" s="195"/>
      <c r="U321" s="195"/>
      <c r="V321" s="195"/>
      <c r="W321" s="195"/>
      <c r="X321" s="195"/>
      <c r="Y321" s="195"/>
      <c r="Z321" s="195"/>
      <c r="AA321" s="195"/>
      <c r="AB321" s="195"/>
      <c r="AC321" s="195"/>
      <c r="AD321" s="195"/>
      <c r="AE321" s="195"/>
      <c r="AF321" s="195"/>
      <c r="AG321" s="195"/>
      <c r="AH321" s="195"/>
      <c r="AI321" s="195"/>
      <c r="AJ321" s="195"/>
      <c r="AK321" s="195"/>
      <c r="AL321" s="195"/>
      <c r="AM321" s="195"/>
      <c r="AN321" s="195"/>
      <c r="AO321" s="195"/>
    </row>
    <row r="322" spans="1:41" x14ac:dyDescent="0.2">
      <c r="A322" s="195"/>
      <c r="B322" s="195"/>
      <c r="C322" s="195"/>
      <c r="D322" s="195"/>
      <c r="E322" s="195"/>
      <c r="F322" s="195"/>
      <c r="G322" s="195"/>
      <c r="H322" s="195"/>
      <c r="I322" s="195"/>
      <c r="J322" s="195"/>
      <c r="K322" s="195"/>
      <c r="L322" s="195"/>
      <c r="M322" s="195"/>
      <c r="N322" s="195"/>
      <c r="O322" s="195"/>
      <c r="P322" s="195"/>
      <c r="Q322" s="195"/>
      <c r="R322" s="195"/>
      <c r="S322" s="195"/>
      <c r="T322" s="195"/>
      <c r="U322" s="195"/>
      <c r="V322" s="195"/>
      <c r="W322" s="195"/>
      <c r="X322" s="195"/>
      <c r="Y322" s="195"/>
      <c r="Z322" s="195"/>
      <c r="AA322" s="195"/>
      <c r="AB322" s="195"/>
      <c r="AC322" s="195"/>
      <c r="AD322" s="195"/>
      <c r="AE322" s="195"/>
      <c r="AF322" s="195"/>
      <c r="AG322" s="195"/>
      <c r="AH322" s="195"/>
      <c r="AI322" s="195"/>
      <c r="AJ322" s="195"/>
      <c r="AK322" s="195"/>
      <c r="AL322" s="195"/>
      <c r="AM322" s="195"/>
      <c r="AN322" s="195"/>
      <c r="AO322" s="195"/>
    </row>
    <row r="323" spans="1:41" x14ac:dyDescent="0.2">
      <c r="A323" s="195"/>
      <c r="B323" s="195"/>
      <c r="C323" s="195"/>
      <c r="D323" s="195"/>
      <c r="E323" s="195"/>
      <c r="F323" s="195"/>
      <c r="G323" s="195"/>
      <c r="H323" s="195"/>
      <c r="I323" s="195"/>
      <c r="J323" s="195"/>
      <c r="K323" s="195"/>
      <c r="L323" s="195"/>
      <c r="M323" s="195"/>
      <c r="N323" s="195"/>
      <c r="O323" s="195"/>
      <c r="P323" s="195"/>
      <c r="Q323" s="195"/>
      <c r="R323" s="195"/>
      <c r="S323" s="195"/>
      <c r="T323" s="195"/>
      <c r="U323" s="195"/>
      <c r="V323" s="195"/>
      <c r="W323" s="195"/>
      <c r="X323" s="195"/>
      <c r="Y323" s="195"/>
      <c r="Z323" s="195"/>
      <c r="AA323" s="195"/>
      <c r="AB323" s="195"/>
      <c r="AC323" s="195"/>
      <c r="AD323" s="195"/>
      <c r="AE323" s="195"/>
      <c r="AF323" s="195"/>
      <c r="AG323" s="195"/>
      <c r="AH323" s="195"/>
      <c r="AI323" s="195"/>
      <c r="AJ323" s="195"/>
      <c r="AK323" s="195"/>
      <c r="AL323" s="195"/>
      <c r="AM323" s="195"/>
      <c r="AN323" s="195"/>
      <c r="AO323" s="195"/>
    </row>
    <row r="324" spans="1:41" x14ac:dyDescent="0.2">
      <c r="A324" s="195"/>
      <c r="B324" s="195"/>
      <c r="C324" s="195"/>
      <c r="D324" s="195"/>
      <c r="E324" s="195"/>
      <c r="F324" s="195"/>
      <c r="G324" s="195"/>
      <c r="H324" s="195"/>
      <c r="I324" s="195"/>
      <c r="J324" s="195"/>
      <c r="K324" s="195"/>
      <c r="L324" s="195"/>
      <c r="M324" s="195"/>
      <c r="N324" s="195"/>
      <c r="O324" s="195"/>
      <c r="P324" s="195"/>
      <c r="Q324" s="195"/>
      <c r="R324" s="195"/>
      <c r="S324" s="195"/>
      <c r="T324" s="195"/>
      <c r="U324" s="195"/>
      <c r="V324" s="195"/>
      <c r="W324" s="195"/>
      <c r="X324" s="195"/>
      <c r="Y324" s="195"/>
      <c r="Z324" s="195"/>
      <c r="AA324" s="195"/>
      <c r="AB324" s="195"/>
      <c r="AC324" s="195"/>
      <c r="AD324" s="195"/>
      <c r="AE324" s="195"/>
      <c r="AF324" s="195"/>
      <c r="AG324" s="195"/>
      <c r="AH324" s="195"/>
      <c r="AI324" s="195"/>
      <c r="AJ324" s="195"/>
      <c r="AK324" s="195"/>
      <c r="AL324" s="195"/>
      <c r="AM324" s="195"/>
      <c r="AN324" s="195"/>
      <c r="AO324" s="195"/>
    </row>
    <row r="325" spans="1:41" x14ac:dyDescent="0.2">
      <c r="A325" s="195"/>
      <c r="B325" s="195"/>
      <c r="C325" s="195"/>
      <c r="D325" s="195"/>
      <c r="E325" s="195"/>
      <c r="F325" s="195"/>
      <c r="G325" s="195"/>
      <c r="H325" s="195"/>
      <c r="I325" s="195"/>
      <c r="J325" s="195"/>
      <c r="K325" s="195"/>
      <c r="L325" s="195"/>
      <c r="M325" s="195"/>
      <c r="N325" s="195"/>
      <c r="O325" s="195"/>
      <c r="P325" s="195"/>
      <c r="Q325" s="195"/>
      <c r="R325" s="195"/>
      <c r="S325" s="195"/>
      <c r="T325" s="195"/>
      <c r="U325" s="195"/>
      <c r="V325" s="195"/>
      <c r="W325" s="195"/>
      <c r="X325" s="195"/>
      <c r="Y325" s="195"/>
      <c r="Z325" s="195"/>
      <c r="AA325" s="195"/>
      <c r="AB325" s="195"/>
      <c r="AC325" s="195"/>
      <c r="AD325" s="195"/>
      <c r="AE325" s="195"/>
      <c r="AF325" s="195"/>
      <c r="AG325" s="195"/>
      <c r="AH325" s="195"/>
      <c r="AI325" s="195"/>
      <c r="AJ325" s="195"/>
      <c r="AK325" s="195"/>
      <c r="AL325" s="195"/>
      <c r="AM325" s="195"/>
      <c r="AN325" s="195"/>
      <c r="AO325" s="195"/>
    </row>
    <row r="326" spans="1:41" x14ac:dyDescent="0.2">
      <c r="A326" s="195"/>
      <c r="B326" s="195"/>
      <c r="C326" s="195"/>
      <c r="D326" s="195"/>
      <c r="E326" s="195"/>
      <c r="F326" s="195"/>
      <c r="G326" s="195"/>
      <c r="H326" s="195"/>
      <c r="I326" s="195"/>
      <c r="J326" s="195"/>
      <c r="K326" s="195"/>
      <c r="L326" s="195"/>
      <c r="M326" s="195"/>
      <c r="N326" s="195"/>
      <c r="O326" s="195"/>
      <c r="P326" s="195"/>
      <c r="Q326" s="195"/>
      <c r="R326" s="195"/>
      <c r="S326" s="195"/>
      <c r="T326" s="195"/>
      <c r="U326" s="195"/>
      <c r="V326" s="195"/>
      <c r="W326" s="195"/>
      <c r="X326" s="195"/>
      <c r="Y326" s="195"/>
      <c r="Z326" s="195"/>
      <c r="AA326" s="195"/>
      <c r="AB326" s="195"/>
      <c r="AC326" s="195"/>
      <c r="AD326" s="195"/>
      <c r="AE326" s="195"/>
      <c r="AF326" s="195"/>
      <c r="AG326" s="195"/>
      <c r="AH326" s="195"/>
      <c r="AI326" s="195"/>
      <c r="AJ326" s="195"/>
      <c r="AK326" s="195"/>
      <c r="AL326" s="195"/>
      <c r="AM326" s="195"/>
      <c r="AN326" s="195"/>
      <c r="AO326" s="195"/>
    </row>
    <row r="327" spans="1:41" x14ac:dyDescent="0.2">
      <c r="A327" s="195"/>
      <c r="B327" s="195"/>
      <c r="C327" s="195"/>
      <c r="D327" s="195"/>
      <c r="E327" s="195"/>
      <c r="F327" s="195"/>
      <c r="G327" s="195"/>
      <c r="H327" s="195"/>
      <c r="I327" s="195"/>
      <c r="J327" s="195"/>
      <c r="K327" s="195"/>
      <c r="L327" s="195"/>
      <c r="M327" s="195"/>
      <c r="N327" s="195"/>
      <c r="O327" s="195"/>
      <c r="P327" s="195"/>
      <c r="Q327" s="195"/>
      <c r="R327" s="195"/>
      <c r="S327" s="195"/>
      <c r="T327" s="195"/>
      <c r="U327" s="195"/>
      <c r="V327" s="195"/>
      <c r="W327" s="195"/>
      <c r="X327" s="195"/>
      <c r="Y327" s="195"/>
      <c r="Z327" s="195"/>
      <c r="AA327" s="195"/>
      <c r="AB327" s="195"/>
      <c r="AC327" s="195"/>
      <c r="AD327" s="195"/>
      <c r="AE327" s="195"/>
      <c r="AF327" s="195"/>
      <c r="AG327" s="195"/>
      <c r="AH327" s="195"/>
      <c r="AI327" s="195"/>
      <c r="AJ327" s="195"/>
      <c r="AK327" s="195"/>
      <c r="AL327" s="195"/>
      <c r="AM327" s="195"/>
      <c r="AN327" s="195"/>
      <c r="AO327" s="195"/>
    </row>
    <row r="328" spans="1:41" x14ac:dyDescent="0.2">
      <c r="A328" s="195"/>
      <c r="B328" s="195"/>
      <c r="C328" s="195"/>
      <c r="D328" s="195"/>
      <c r="E328" s="195"/>
      <c r="F328" s="195"/>
      <c r="G328" s="195"/>
      <c r="H328" s="195"/>
      <c r="I328" s="195"/>
      <c r="J328" s="195"/>
      <c r="K328" s="195"/>
      <c r="L328" s="195"/>
      <c r="M328" s="195"/>
      <c r="N328" s="195"/>
      <c r="O328" s="195"/>
      <c r="P328" s="195"/>
      <c r="Q328" s="195"/>
      <c r="R328" s="195"/>
      <c r="S328" s="195"/>
      <c r="T328" s="195"/>
      <c r="U328" s="195"/>
      <c r="V328" s="195"/>
      <c r="W328" s="195"/>
      <c r="X328" s="195"/>
      <c r="Y328" s="195"/>
      <c r="Z328" s="195"/>
      <c r="AA328" s="195"/>
      <c r="AB328" s="195"/>
      <c r="AC328" s="195"/>
      <c r="AD328" s="195"/>
      <c r="AE328" s="195"/>
      <c r="AF328" s="195"/>
      <c r="AG328" s="195"/>
      <c r="AH328" s="195"/>
      <c r="AI328" s="195"/>
      <c r="AJ328" s="195"/>
      <c r="AK328" s="195"/>
      <c r="AL328" s="195"/>
      <c r="AM328" s="195"/>
      <c r="AN328" s="195"/>
      <c r="AO328" s="195"/>
    </row>
    <row r="329" spans="1:41" x14ac:dyDescent="0.2">
      <c r="A329" s="195"/>
      <c r="B329" s="195"/>
      <c r="C329" s="195"/>
      <c r="D329" s="195"/>
      <c r="E329" s="195"/>
      <c r="F329" s="195"/>
      <c r="G329" s="195"/>
      <c r="H329" s="195"/>
      <c r="I329" s="195"/>
      <c r="J329" s="195"/>
      <c r="K329" s="195"/>
      <c r="L329" s="195"/>
      <c r="M329" s="195"/>
      <c r="N329" s="195"/>
      <c r="O329" s="195"/>
      <c r="P329" s="195"/>
      <c r="Q329" s="195"/>
      <c r="R329" s="195"/>
      <c r="S329" s="195"/>
      <c r="T329" s="195"/>
      <c r="U329" s="195"/>
      <c r="V329" s="195"/>
      <c r="W329" s="195"/>
      <c r="X329" s="195"/>
      <c r="Y329" s="195"/>
      <c r="Z329" s="195"/>
      <c r="AA329" s="195"/>
      <c r="AB329" s="195"/>
      <c r="AC329" s="195"/>
      <c r="AD329" s="195"/>
      <c r="AE329" s="195"/>
      <c r="AF329" s="195"/>
      <c r="AG329" s="195"/>
      <c r="AH329" s="195"/>
      <c r="AI329" s="195"/>
      <c r="AJ329" s="195"/>
      <c r="AK329" s="195"/>
      <c r="AL329" s="195"/>
      <c r="AM329" s="195"/>
      <c r="AN329" s="195"/>
      <c r="AO329" s="195"/>
    </row>
    <row r="330" spans="1:41" x14ac:dyDescent="0.2">
      <c r="A330" s="195"/>
      <c r="B330" s="195"/>
      <c r="C330" s="195"/>
      <c r="D330" s="195"/>
      <c r="E330" s="195"/>
      <c r="F330" s="195"/>
      <c r="G330" s="195"/>
      <c r="H330" s="195"/>
      <c r="I330" s="195"/>
      <c r="J330" s="195"/>
      <c r="K330" s="195"/>
      <c r="L330" s="195"/>
      <c r="M330" s="195"/>
      <c r="N330" s="195"/>
      <c r="O330" s="195"/>
      <c r="P330" s="195"/>
      <c r="Q330" s="195"/>
      <c r="R330" s="195"/>
      <c r="S330" s="195"/>
      <c r="T330" s="195"/>
      <c r="U330" s="195"/>
      <c r="V330" s="195"/>
      <c r="W330" s="195"/>
      <c r="X330" s="195"/>
      <c r="Y330" s="195"/>
      <c r="Z330" s="195"/>
      <c r="AA330" s="195"/>
      <c r="AB330" s="195"/>
      <c r="AC330" s="195"/>
      <c r="AD330" s="195"/>
      <c r="AE330" s="195"/>
      <c r="AF330" s="195"/>
      <c r="AG330" s="195"/>
      <c r="AH330" s="195"/>
      <c r="AI330" s="195"/>
      <c r="AJ330" s="195"/>
      <c r="AK330" s="195"/>
      <c r="AL330" s="195"/>
      <c r="AM330" s="195"/>
      <c r="AN330" s="195"/>
      <c r="AO330" s="195"/>
    </row>
    <row r="331" spans="1:41" x14ac:dyDescent="0.2">
      <c r="A331" s="195"/>
      <c r="B331" s="195"/>
      <c r="C331" s="195"/>
      <c r="D331" s="195"/>
      <c r="E331" s="195"/>
      <c r="F331" s="195"/>
      <c r="G331" s="195"/>
      <c r="H331" s="195"/>
      <c r="I331" s="195"/>
      <c r="J331" s="195"/>
      <c r="K331" s="195"/>
      <c r="L331" s="195"/>
      <c r="M331" s="195"/>
      <c r="N331" s="195"/>
      <c r="O331" s="195"/>
      <c r="P331" s="195"/>
      <c r="Q331" s="195"/>
      <c r="R331" s="195"/>
      <c r="S331" s="195"/>
      <c r="T331" s="195"/>
      <c r="U331" s="195"/>
      <c r="V331" s="195"/>
      <c r="W331" s="195"/>
      <c r="X331" s="195"/>
      <c r="Y331" s="195"/>
      <c r="Z331" s="195"/>
      <c r="AA331" s="195"/>
      <c r="AB331" s="195"/>
      <c r="AC331" s="195"/>
      <c r="AD331" s="195"/>
      <c r="AE331" s="195"/>
      <c r="AF331" s="195"/>
      <c r="AG331" s="195"/>
      <c r="AH331" s="195"/>
      <c r="AI331" s="195"/>
      <c r="AJ331" s="195"/>
      <c r="AK331" s="195"/>
      <c r="AL331" s="195"/>
      <c r="AM331" s="195"/>
      <c r="AN331" s="195"/>
      <c r="AO331" s="195"/>
    </row>
    <row r="332" spans="1:41" x14ac:dyDescent="0.2">
      <c r="A332" s="195"/>
      <c r="B332" s="195"/>
      <c r="C332" s="195"/>
      <c r="D332" s="195"/>
      <c r="E332" s="195"/>
      <c r="F332" s="195"/>
      <c r="G332" s="195"/>
      <c r="H332" s="195"/>
      <c r="I332" s="195"/>
      <c r="J332" s="195"/>
      <c r="K332" s="195"/>
      <c r="L332" s="195"/>
      <c r="M332" s="195"/>
      <c r="N332" s="195"/>
      <c r="O332" s="195"/>
      <c r="P332" s="195"/>
      <c r="Q332" s="195"/>
      <c r="R332" s="195"/>
      <c r="S332" s="195"/>
      <c r="T332" s="195"/>
      <c r="U332" s="195"/>
      <c r="V332" s="195"/>
      <c r="W332" s="195"/>
      <c r="X332" s="195"/>
      <c r="Y332" s="195"/>
      <c r="Z332" s="195"/>
      <c r="AA332" s="195"/>
      <c r="AB332" s="195"/>
      <c r="AC332" s="195"/>
      <c r="AD332" s="195"/>
      <c r="AE332" s="195"/>
      <c r="AF332" s="195"/>
      <c r="AG332" s="195"/>
      <c r="AH332" s="195"/>
      <c r="AI332" s="195"/>
      <c r="AJ332" s="195"/>
      <c r="AK332" s="195"/>
      <c r="AL332" s="195"/>
      <c r="AM332" s="195"/>
      <c r="AN332" s="195"/>
      <c r="AO332" s="195"/>
    </row>
    <row r="333" spans="1:41" x14ac:dyDescent="0.2">
      <c r="A333" s="195"/>
      <c r="B333" s="195"/>
      <c r="C333" s="195"/>
      <c r="D333" s="195"/>
      <c r="E333" s="195"/>
      <c r="F333" s="195"/>
      <c r="G333" s="195"/>
      <c r="H333" s="195"/>
      <c r="I333" s="195"/>
      <c r="J333" s="195"/>
      <c r="K333" s="195"/>
      <c r="L333" s="195"/>
      <c r="M333" s="195"/>
      <c r="N333" s="195"/>
      <c r="O333" s="195"/>
      <c r="P333" s="195"/>
      <c r="Q333" s="195"/>
      <c r="R333" s="195"/>
      <c r="S333" s="195"/>
      <c r="T333" s="195"/>
      <c r="U333" s="195"/>
      <c r="V333" s="195"/>
      <c r="W333" s="195"/>
      <c r="X333" s="195"/>
      <c r="Y333" s="195"/>
      <c r="Z333" s="195"/>
      <c r="AA333" s="195"/>
      <c r="AB333" s="195"/>
      <c r="AC333" s="195"/>
      <c r="AD333" s="195"/>
      <c r="AE333" s="195"/>
      <c r="AF333" s="195"/>
      <c r="AG333" s="195"/>
      <c r="AH333" s="195"/>
      <c r="AI333" s="195"/>
      <c r="AJ333" s="195"/>
      <c r="AK333" s="195"/>
      <c r="AL333" s="195"/>
      <c r="AM333" s="195"/>
      <c r="AN333" s="195"/>
      <c r="AO333" s="195"/>
    </row>
    <row r="334" spans="1:41" x14ac:dyDescent="0.2">
      <c r="A334" s="195"/>
      <c r="B334" s="195"/>
      <c r="C334" s="195"/>
      <c r="D334" s="195"/>
      <c r="E334" s="195"/>
      <c r="F334" s="195"/>
      <c r="G334" s="195"/>
      <c r="H334" s="195"/>
      <c r="I334" s="195"/>
      <c r="J334" s="195"/>
      <c r="K334" s="195"/>
      <c r="L334" s="195"/>
      <c r="M334" s="195"/>
      <c r="N334" s="195"/>
      <c r="O334" s="195"/>
      <c r="P334" s="195"/>
      <c r="Q334" s="195"/>
      <c r="R334" s="195"/>
      <c r="S334" s="195"/>
      <c r="T334" s="195"/>
      <c r="U334" s="195"/>
      <c r="V334" s="195"/>
      <c r="W334" s="195"/>
      <c r="X334" s="195"/>
      <c r="Y334" s="195"/>
      <c r="Z334" s="195"/>
      <c r="AA334" s="195"/>
      <c r="AB334" s="195"/>
      <c r="AC334" s="195"/>
      <c r="AD334" s="195"/>
      <c r="AE334" s="195"/>
      <c r="AF334" s="195"/>
      <c r="AG334" s="195"/>
      <c r="AH334" s="195"/>
      <c r="AI334" s="195"/>
      <c r="AJ334" s="195"/>
      <c r="AK334" s="195"/>
      <c r="AL334" s="195"/>
      <c r="AM334" s="195"/>
      <c r="AN334" s="195"/>
      <c r="AO334" s="195"/>
    </row>
    <row r="335" spans="1:41" x14ac:dyDescent="0.2">
      <c r="A335" s="195"/>
      <c r="B335" s="195"/>
      <c r="C335" s="195"/>
      <c r="D335" s="195"/>
      <c r="E335" s="195"/>
      <c r="F335" s="195"/>
      <c r="G335" s="195"/>
      <c r="H335" s="195"/>
      <c r="I335" s="195"/>
      <c r="J335" s="195"/>
      <c r="K335" s="195"/>
      <c r="L335" s="195"/>
      <c r="M335" s="195"/>
      <c r="N335" s="195"/>
      <c r="O335" s="195"/>
      <c r="P335" s="195"/>
      <c r="Q335" s="195"/>
      <c r="R335" s="195"/>
      <c r="S335" s="195"/>
      <c r="T335" s="195"/>
      <c r="U335" s="195"/>
      <c r="V335" s="195"/>
      <c r="W335" s="195"/>
      <c r="X335" s="195"/>
      <c r="Y335" s="195"/>
      <c r="Z335" s="195"/>
      <c r="AA335" s="195"/>
      <c r="AB335" s="195"/>
      <c r="AC335" s="195"/>
      <c r="AD335" s="195"/>
      <c r="AE335" s="195"/>
      <c r="AF335" s="195"/>
      <c r="AG335" s="195"/>
      <c r="AH335" s="195"/>
      <c r="AI335" s="195"/>
      <c r="AJ335" s="195"/>
      <c r="AK335" s="195"/>
      <c r="AL335" s="195"/>
      <c r="AM335" s="195"/>
      <c r="AN335" s="195"/>
      <c r="AO335" s="195"/>
    </row>
    <row r="336" spans="1:41" x14ac:dyDescent="0.2">
      <c r="A336" s="195"/>
      <c r="B336" s="195"/>
      <c r="C336" s="195"/>
      <c r="D336" s="195"/>
      <c r="E336" s="195"/>
      <c r="F336" s="195"/>
      <c r="G336" s="195"/>
      <c r="H336" s="195"/>
      <c r="I336" s="195"/>
      <c r="J336" s="195"/>
      <c r="K336" s="195"/>
      <c r="L336" s="195"/>
      <c r="M336" s="195"/>
      <c r="N336" s="195"/>
      <c r="O336" s="195"/>
      <c r="P336" s="195"/>
      <c r="Q336" s="195"/>
      <c r="R336" s="195"/>
      <c r="S336" s="195"/>
      <c r="T336" s="195"/>
      <c r="U336" s="195"/>
      <c r="V336" s="195"/>
      <c r="W336" s="195"/>
      <c r="X336" s="195"/>
      <c r="Y336" s="195"/>
      <c r="Z336" s="195"/>
      <c r="AA336" s="195"/>
      <c r="AB336" s="195"/>
      <c r="AC336" s="195"/>
      <c r="AD336" s="195"/>
      <c r="AE336" s="195"/>
      <c r="AF336" s="195"/>
      <c r="AG336" s="195"/>
      <c r="AH336" s="195"/>
      <c r="AI336" s="195"/>
      <c r="AJ336" s="195"/>
      <c r="AK336" s="195"/>
      <c r="AL336" s="195"/>
      <c r="AM336" s="195"/>
      <c r="AN336" s="195"/>
      <c r="AO336" s="195"/>
    </row>
    <row r="337" spans="1:41" x14ac:dyDescent="0.2">
      <c r="A337" s="195"/>
      <c r="B337" s="195"/>
      <c r="C337" s="195"/>
      <c r="D337" s="195"/>
      <c r="E337" s="195"/>
      <c r="F337" s="195"/>
      <c r="G337" s="195"/>
      <c r="H337" s="195"/>
      <c r="I337" s="195"/>
      <c r="J337" s="195"/>
      <c r="K337" s="195"/>
      <c r="L337" s="195"/>
      <c r="M337" s="195"/>
      <c r="N337" s="195"/>
      <c r="O337" s="195"/>
      <c r="P337" s="195"/>
      <c r="Q337" s="195"/>
      <c r="R337" s="195"/>
      <c r="S337" s="195"/>
      <c r="T337" s="195"/>
      <c r="U337" s="195"/>
      <c r="V337" s="195"/>
      <c r="W337" s="195"/>
      <c r="X337" s="195"/>
      <c r="Y337" s="195"/>
      <c r="Z337" s="195"/>
      <c r="AA337" s="195"/>
      <c r="AB337" s="195"/>
      <c r="AC337" s="195"/>
      <c r="AD337" s="195"/>
      <c r="AE337" s="195"/>
      <c r="AF337" s="195"/>
      <c r="AG337" s="195"/>
      <c r="AH337" s="195"/>
      <c r="AI337" s="195"/>
      <c r="AJ337" s="195"/>
      <c r="AK337" s="195"/>
      <c r="AL337" s="195"/>
      <c r="AM337" s="195"/>
      <c r="AN337" s="195"/>
      <c r="AO337" s="195"/>
    </row>
    <row r="338" spans="1:41" x14ac:dyDescent="0.2">
      <c r="A338" s="195"/>
      <c r="B338" s="195"/>
      <c r="C338" s="195"/>
      <c r="D338" s="195"/>
      <c r="E338" s="195"/>
      <c r="F338" s="195"/>
      <c r="G338" s="195"/>
      <c r="H338" s="195"/>
      <c r="I338" s="195"/>
      <c r="J338" s="195"/>
      <c r="K338" s="195"/>
      <c r="L338" s="195"/>
      <c r="M338" s="195"/>
      <c r="N338" s="195"/>
      <c r="O338" s="195"/>
      <c r="P338" s="195"/>
      <c r="Q338" s="195"/>
      <c r="R338" s="195"/>
      <c r="S338" s="195"/>
      <c r="T338" s="195"/>
      <c r="U338" s="195"/>
      <c r="V338" s="195"/>
      <c r="W338" s="195"/>
      <c r="X338" s="195"/>
      <c r="Y338" s="195"/>
      <c r="Z338" s="195"/>
      <c r="AA338" s="195"/>
      <c r="AB338" s="195"/>
      <c r="AC338" s="195"/>
      <c r="AD338" s="195"/>
      <c r="AE338" s="195"/>
      <c r="AF338" s="195"/>
      <c r="AG338" s="195"/>
      <c r="AH338" s="195"/>
      <c r="AI338" s="195"/>
      <c r="AJ338" s="195"/>
      <c r="AK338" s="195"/>
      <c r="AL338" s="195"/>
      <c r="AM338" s="195"/>
      <c r="AN338" s="195"/>
      <c r="AO338" s="195"/>
    </row>
    <row r="339" spans="1:41" x14ac:dyDescent="0.2">
      <c r="A339" s="195"/>
      <c r="B339" s="195"/>
      <c r="C339" s="195"/>
      <c r="D339" s="195"/>
      <c r="E339" s="195"/>
      <c r="F339" s="195"/>
      <c r="G339" s="195"/>
      <c r="H339" s="195"/>
      <c r="I339" s="195"/>
      <c r="J339" s="195"/>
      <c r="K339" s="195"/>
      <c r="L339" s="195"/>
      <c r="M339" s="195"/>
      <c r="N339" s="195"/>
      <c r="O339" s="195"/>
      <c r="P339" s="195"/>
      <c r="Q339" s="195"/>
      <c r="R339" s="195"/>
      <c r="S339" s="195"/>
      <c r="T339" s="195"/>
      <c r="U339" s="195"/>
      <c r="V339" s="195"/>
      <c r="W339" s="195"/>
      <c r="X339" s="195"/>
      <c r="Y339" s="195"/>
      <c r="Z339" s="195"/>
      <c r="AA339" s="195"/>
      <c r="AB339" s="195"/>
      <c r="AC339" s="195"/>
      <c r="AD339" s="195"/>
      <c r="AE339" s="195"/>
      <c r="AF339" s="195"/>
      <c r="AG339" s="195"/>
      <c r="AH339" s="195"/>
      <c r="AI339" s="195"/>
      <c r="AJ339" s="195"/>
      <c r="AK339" s="195"/>
      <c r="AL339" s="195"/>
      <c r="AM339" s="195"/>
      <c r="AN339" s="195"/>
      <c r="AO339" s="195"/>
    </row>
    <row r="340" spans="1:41" x14ac:dyDescent="0.2">
      <c r="A340" s="195"/>
      <c r="B340" s="195"/>
      <c r="C340" s="195"/>
      <c r="D340" s="195"/>
      <c r="E340" s="195"/>
      <c r="F340" s="195"/>
      <c r="G340" s="195"/>
      <c r="H340" s="195"/>
      <c r="I340" s="195"/>
      <c r="J340" s="195"/>
      <c r="K340" s="195"/>
      <c r="L340" s="195"/>
      <c r="M340" s="195"/>
      <c r="N340" s="195"/>
      <c r="O340" s="195"/>
      <c r="P340" s="195"/>
      <c r="Q340" s="195"/>
      <c r="R340" s="195"/>
      <c r="S340" s="195"/>
      <c r="T340" s="195"/>
      <c r="U340" s="195"/>
      <c r="V340" s="195"/>
      <c r="W340" s="195"/>
      <c r="X340" s="195"/>
      <c r="Y340" s="195"/>
      <c r="Z340" s="195"/>
      <c r="AA340" s="195"/>
      <c r="AB340" s="195"/>
      <c r="AC340" s="195"/>
      <c r="AD340" s="195"/>
      <c r="AE340" s="195"/>
      <c r="AF340" s="195"/>
      <c r="AG340" s="195"/>
      <c r="AH340" s="195"/>
      <c r="AI340" s="195"/>
      <c r="AJ340" s="195"/>
      <c r="AK340" s="195"/>
      <c r="AL340" s="195"/>
      <c r="AM340" s="195"/>
      <c r="AN340" s="195"/>
      <c r="AO340" s="195"/>
    </row>
    <row r="341" spans="1:41" x14ac:dyDescent="0.2">
      <c r="A341" s="195"/>
      <c r="B341" s="195"/>
      <c r="C341" s="195"/>
      <c r="D341" s="195"/>
      <c r="E341" s="195"/>
      <c r="F341" s="195"/>
      <c r="G341" s="195"/>
      <c r="H341" s="195"/>
      <c r="I341" s="195"/>
      <c r="J341" s="195"/>
      <c r="K341" s="195"/>
      <c r="L341" s="195"/>
      <c r="M341" s="195"/>
      <c r="N341" s="195"/>
      <c r="O341" s="195"/>
      <c r="P341" s="195"/>
      <c r="Q341" s="195"/>
      <c r="R341" s="195"/>
      <c r="S341" s="195"/>
      <c r="T341" s="195"/>
      <c r="U341" s="195"/>
      <c r="V341" s="195"/>
      <c r="W341" s="195"/>
      <c r="X341" s="195"/>
      <c r="Y341" s="195"/>
      <c r="Z341" s="195"/>
      <c r="AA341" s="195"/>
      <c r="AB341" s="195"/>
      <c r="AC341" s="195"/>
      <c r="AD341" s="195"/>
      <c r="AE341" s="195"/>
      <c r="AF341" s="195"/>
      <c r="AG341" s="195"/>
      <c r="AH341" s="195"/>
      <c r="AI341" s="195"/>
      <c r="AJ341" s="195"/>
      <c r="AK341" s="195"/>
      <c r="AL341" s="195"/>
      <c r="AM341" s="195"/>
      <c r="AN341" s="195"/>
      <c r="AO341" s="195"/>
    </row>
    <row r="342" spans="1:41" x14ac:dyDescent="0.2">
      <c r="A342" s="195"/>
      <c r="B342" s="195"/>
      <c r="C342" s="195"/>
      <c r="D342" s="195"/>
      <c r="E342" s="195"/>
      <c r="F342" s="195"/>
      <c r="G342" s="195"/>
      <c r="H342" s="195"/>
      <c r="I342" s="195"/>
      <c r="J342" s="195"/>
      <c r="K342" s="195"/>
      <c r="L342" s="195"/>
      <c r="M342" s="195"/>
      <c r="N342" s="195"/>
      <c r="O342" s="195"/>
      <c r="P342" s="195"/>
      <c r="Q342" s="195"/>
      <c r="R342" s="195"/>
      <c r="S342" s="195"/>
      <c r="T342" s="195"/>
      <c r="U342" s="195"/>
      <c r="V342" s="195"/>
      <c r="W342" s="195"/>
      <c r="X342" s="195"/>
      <c r="Y342" s="195"/>
      <c r="Z342" s="195"/>
      <c r="AA342" s="195"/>
      <c r="AB342" s="195"/>
      <c r="AC342" s="195"/>
      <c r="AD342" s="195"/>
      <c r="AE342" s="195"/>
      <c r="AF342" s="195"/>
      <c r="AG342" s="195"/>
      <c r="AH342" s="195"/>
      <c r="AI342" s="195"/>
      <c r="AJ342" s="195"/>
      <c r="AK342" s="195"/>
      <c r="AL342" s="195"/>
      <c r="AM342" s="195"/>
      <c r="AN342" s="195"/>
      <c r="AO342" s="195"/>
    </row>
    <row r="343" spans="1:41" x14ac:dyDescent="0.2">
      <c r="A343" s="195"/>
      <c r="B343" s="195"/>
      <c r="C343" s="195"/>
      <c r="D343" s="195"/>
      <c r="E343" s="195"/>
      <c r="F343" s="195"/>
      <c r="G343" s="195"/>
      <c r="H343" s="195"/>
      <c r="I343" s="195"/>
      <c r="J343" s="195"/>
      <c r="K343" s="195"/>
      <c r="L343" s="195"/>
      <c r="M343" s="195"/>
      <c r="N343" s="195"/>
      <c r="O343" s="195"/>
      <c r="P343" s="195"/>
      <c r="Q343" s="195"/>
      <c r="R343" s="195"/>
      <c r="S343" s="195"/>
      <c r="T343" s="195"/>
      <c r="U343" s="195"/>
      <c r="V343" s="195"/>
      <c r="W343" s="195"/>
      <c r="X343" s="195"/>
      <c r="Y343" s="195"/>
      <c r="Z343" s="195"/>
      <c r="AA343" s="195"/>
      <c r="AB343" s="195"/>
      <c r="AC343" s="195"/>
      <c r="AD343" s="195"/>
      <c r="AE343" s="195"/>
      <c r="AF343" s="195"/>
      <c r="AG343" s="195"/>
      <c r="AH343" s="195"/>
      <c r="AI343" s="195"/>
      <c r="AJ343" s="195"/>
      <c r="AK343" s="195"/>
      <c r="AL343" s="195"/>
      <c r="AM343" s="195"/>
      <c r="AN343" s="195"/>
      <c r="AO343" s="195"/>
    </row>
    <row r="344" spans="1:41" x14ac:dyDescent="0.2">
      <c r="A344" s="195"/>
      <c r="B344" s="195"/>
      <c r="C344" s="195"/>
      <c r="D344" s="195"/>
      <c r="E344" s="195"/>
      <c r="F344" s="195"/>
      <c r="G344" s="195"/>
      <c r="H344" s="195"/>
      <c r="I344" s="195"/>
      <c r="J344" s="195"/>
      <c r="K344" s="195"/>
      <c r="L344" s="195"/>
      <c r="M344" s="195"/>
      <c r="N344" s="195"/>
      <c r="O344" s="195"/>
      <c r="P344" s="195"/>
      <c r="Q344" s="195"/>
      <c r="R344" s="195"/>
      <c r="S344" s="195"/>
      <c r="T344" s="195"/>
      <c r="U344" s="195"/>
      <c r="V344" s="195"/>
      <c r="W344" s="195"/>
      <c r="X344" s="195"/>
      <c r="Y344" s="195"/>
      <c r="Z344" s="195"/>
      <c r="AA344" s="195"/>
      <c r="AB344" s="195"/>
      <c r="AC344" s="195"/>
      <c r="AD344" s="195"/>
      <c r="AE344" s="195"/>
      <c r="AF344" s="195"/>
      <c r="AG344" s="195"/>
      <c r="AH344" s="195"/>
      <c r="AI344" s="195"/>
      <c r="AJ344" s="195"/>
      <c r="AK344" s="195"/>
      <c r="AL344" s="195"/>
      <c r="AM344" s="195"/>
      <c r="AN344" s="195"/>
      <c r="AO344" s="195"/>
    </row>
    <row r="345" spans="1:41" x14ac:dyDescent="0.2">
      <c r="A345" s="195"/>
      <c r="B345" s="195"/>
      <c r="C345" s="195"/>
      <c r="D345" s="195"/>
      <c r="E345" s="195"/>
      <c r="F345" s="195"/>
      <c r="G345" s="195"/>
      <c r="H345" s="195"/>
      <c r="I345" s="195"/>
      <c r="J345" s="195"/>
      <c r="K345" s="195"/>
      <c r="L345" s="195"/>
      <c r="M345" s="195"/>
      <c r="N345" s="195"/>
      <c r="O345" s="195"/>
      <c r="P345" s="195"/>
      <c r="Q345" s="195"/>
      <c r="R345" s="195"/>
      <c r="S345" s="195"/>
      <c r="T345" s="195"/>
      <c r="U345" s="195"/>
      <c r="V345" s="195"/>
      <c r="W345" s="195"/>
      <c r="X345" s="195"/>
      <c r="Y345" s="195"/>
      <c r="Z345" s="195"/>
      <c r="AA345" s="195"/>
      <c r="AB345" s="195"/>
      <c r="AC345" s="195"/>
      <c r="AD345" s="195"/>
      <c r="AE345" s="195"/>
      <c r="AF345" s="195"/>
      <c r="AG345" s="195"/>
      <c r="AH345" s="195"/>
      <c r="AI345" s="195"/>
      <c r="AJ345" s="195"/>
      <c r="AK345" s="195"/>
      <c r="AL345" s="195"/>
      <c r="AM345" s="195"/>
      <c r="AN345" s="195"/>
      <c r="AO345" s="195"/>
    </row>
    <row r="346" spans="1:41" x14ac:dyDescent="0.2">
      <c r="A346" s="195"/>
      <c r="B346" s="195"/>
      <c r="C346" s="195"/>
      <c r="D346" s="195"/>
      <c r="E346" s="195"/>
      <c r="F346" s="195"/>
      <c r="G346" s="195"/>
      <c r="H346" s="195"/>
      <c r="I346" s="195"/>
      <c r="J346" s="195"/>
      <c r="K346" s="195"/>
      <c r="L346" s="195"/>
      <c r="M346" s="195"/>
      <c r="N346" s="195"/>
      <c r="O346" s="195"/>
      <c r="P346" s="195"/>
      <c r="Q346" s="195"/>
      <c r="R346" s="195"/>
      <c r="S346" s="195"/>
      <c r="T346" s="195"/>
      <c r="U346" s="195"/>
      <c r="V346" s="195"/>
      <c r="W346" s="195"/>
      <c r="X346" s="195"/>
      <c r="Y346" s="195"/>
      <c r="Z346" s="195"/>
      <c r="AA346" s="195"/>
      <c r="AB346" s="195"/>
      <c r="AC346" s="195"/>
      <c r="AD346" s="195"/>
      <c r="AE346" s="195"/>
      <c r="AF346" s="195"/>
      <c r="AG346" s="195"/>
      <c r="AH346" s="195"/>
      <c r="AI346" s="195"/>
      <c r="AJ346" s="195"/>
      <c r="AK346" s="195"/>
      <c r="AL346" s="195"/>
      <c r="AM346" s="195"/>
      <c r="AN346" s="195"/>
      <c r="AO346" s="195"/>
    </row>
    <row r="347" spans="1:41" x14ac:dyDescent="0.2">
      <c r="A347" s="195"/>
      <c r="B347" s="195"/>
      <c r="C347" s="195"/>
      <c r="D347" s="195"/>
      <c r="E347" s="195"/>
      <c r="F347" s="195"/>
      <c r="G347" s="195"/>
      <c r="H347" s="195"/>
      <c r="I347" s="195"/>
      <c r="J347" s="195"/>
      <c r="K347" s="195"/>
      <c r="L347" s="195"/>
      <c r="M347" s="195"/>
      <c r="N347" s="195"/>
      <c r="O347" s="195"/>
      <c r="P347" s="195"/>
      <c r="Q347" s="195"/>
      <c r="R347" s="195"/>
      <c r="S347" s="195"/>
      <c r="T347" s="195"/>
      <c r="U347" s="195"/>
      <c r="V347" s="195"/>
      <c r="W347" s="195"/>
      <c r="X347" s="195"/>
      <c r="Y347" s="195"/>
      <c r="Z347" s="195"/>
      <c r="AA347" s="195"/>
      <c r="AB347" s="195"/>
      <c r="AC347" s="195"/>
      <c r="AD347" s="195"/>
      <c r="AE347" s="195"/>
      <c r="AF347" s="195"/>
      <c r="AG347" s="195"/>
      <c r="AH347" s="195"/>
      <c r="AI347" s="195"/>
      <c r="AJ347" s="195"/>
      <c r="AK347" s="195"/>
      <c r="AL347" s="195"/>
      <c r="AM347" s="195"/>
      <c r="AN347" s="195"/>
      <c r="AO347" s="195"/>
    </row>
    <row r="348" spans="1:41" x14ac:dyDescent="0.2">
      <c r="A348" s="195"/>
      <c r="B348" s="195"/>
      <c r="C348" s="195"/>
      <c r="D348" s="195"/>
      <c r="E348" s="195"/>
      <c r="F348" s="195"/>
      <c r="G348" s="195"/>
      <c r="H348" s="195"/>
      <c r="I348" s="195"/>
      <c r="J348" s="195"/>
      <c r="K348" s="195"/>
      <c r="L348" s="195"/>
      <c r="M348" s="195"/>
      <c r="N348" s="195"/>
      <c r="O348" s="195"/>
      <c r="P348" s="195"/>
      <c r="Q348" s="195"/>
      <c r="R348" s="195"/>
      <c r="S348" s="195"/>
      <c r="T348" s="195"/>
      <c r="U348" s="195"/>
      <c r="V348" s="195"/>
      <c r="W348" s="195"/>
      <c r="X348" s="195"/>
      <c r="Y348" s="195"/>
      <c r="Z348" s="195"/>
      <c r="AA348" s="195"/>
      <c r="AB348" s="195"/>
      <c r="AC348" s="195"/>
      <c r="AD348" s="195"/>
      <c r="AE348" s="195"/>
      <c r="AF348" s="195"/>
      <c r="AG348" s="195"/>
      <c r="AH348" s="195"/>
      <c r="AI348" s="195"/>
      <c r="AJ348" s="195"/>
      <c r="AK348" s="195"/>
      <c r="AL348" s="195"/>
      <c r="AM348" s="195"/>
      <c r="AN348" s="195"/>
      <c r="AO348" s="195"/>
    </row>
    <row r="349" spans="1:41" x14ac:dyDescent="0.2">
      <c r="A349" s="195"/>
      <c r="B349" s="195"/>
      <c r="C349" s="195"/>
      <c r="D349" s="195"/>
      <c r="E349" s="195"/>
      <c r="F349" s="195"/>
      <c r="G349" s="195"/>
      <c r="H349" s="195"/>
      <c r="I349" s="195"/>
      <c r="J349" s="195"/>
      <c r="K349" s="195"/>
      <c r="L349" s="195"/>
      <c r="M349" s="195"/>
      <c r="N349" s="195"/>
      <c r="O349" s="195"/>
      <c r="P349" s="195"/>
      <c r="Q349" s="195"/>
      <c r="R349" s="195"/>
      <c r="S349" s="195"/>
      <c r="T349" s="195"/>
      <c r="U349" s="195"/>
      <c r="V349" s="195"/>
      <c r="W349" s="195"/>
      <c r="X349" s="195"/>
      <c r="Y349" s="195"/>
      <c r="Z349" s="195"/>
      <c r="AA349" s="195"/>
      <c r="AB349" s="195"/>
      <c r="AC349" s="195"/>
      <c r="AD349" s="195"/>
      <c r="AE349" s="195"/>
      <c r="AF349" s="195"/>
      <c r="AG349" s="195"/>
      <c r="AH349" s="195"/>
      <c r="AI349" s="195"/>
      <c r="AJ349" s="195"/>
      <c r="AK349" s="195"/>
      <c r="AL349" s="195"/>
      <c r="AM349" s="195"/>
      <c r="AN349" s="195"/>
      <c r="AO349" s="195"/>
    </row>
    <row r="350" spans="1:41" x14ac:dyDescent="0.2">
      <c r="A350" s="195"/>
      <c r="B350" s="195"/>
      <c r="C350" s="195"/>
      <c r="D350" s="195"/>
      <c r="E350" s="195"/>
      <c r="F350" s="195"/>
      <c r="G350" s="195"/>
      <c r="H350" s="195"/>
      <c r="I350" s="195"/>
      <c r="J350" s="195"/>
      <c r="K350" s="195"/>
      <c r="L350" s="195"/>
      <c r="M350" s="195"/>
      <c r="N350" s="195"/>
      <c r="O350" s="195"/>
      <c r="P350" s="195"/>
      <c r="Q350" s="195"/>
      <c r="R350" s="195"/>
      <c r="S350" s="195"/>
      <c r="T350" s="195"/>
      <c r="U350" s="195"/>
      <c r="V350" s="195"/>
      <c r="W350" s="195"/>
      <c r="X350" s="195"/>
      <c r="Y350" s="195"/>
      <c r="Z350" s="195"/>
      <c r="AA350" s="195"/>
      <c r="AB350" s="195"/>
      <c r="AC350" s="195"/>
      <c r="AD350" s="195"/>
      <c r="AE350" s="195"/>
      <c r="AF350" s="195"/>
      <c r="AG350" s="195"/>
      <c r="AH350" s="195"/>
      <c r="AI350" s="195"/>
      <c r="AJ350" s="195"/>
      <c r="AK350" s="195"/>
      <c r="AL350" s="195"/>
      <c r="AM350" s="195"/>
      <c r="AN350" s="195"/>
      <c r="AO350" s="195"/>
    </row>
    <row r="351" spans="1:41" x14ac:dyDescent="0.2">
      <c r="A351" s="195"/>
      <c r="B351" s="195"/>
      <c r="C351" s="195"/>
      <c r="D351" s="195"/>
      <c r="E351" s="195"/>
      <c r="F351" s="195"/>
      <c r="G351" s="195"/>
      <c r="H351" s="195"/>
      <c r="I351" s="195"/>
      <c r="J351" s="195"/>
      <c r="K351" s="195"/>
      <c r="L351" s="195"/>
      <c r="M351" s="195"/>
      <c r="N351" s="195"/>
      <c r="O351" s="195"/>
      <c r="P351" s="195"/>
      <c r="Q351" s="195"/>
      <c r="R351" s="195"/>
      <c r="S351" s="195"/>
      <c r="T351" s="195"/>
      <c r="U351" s="195"/>
      <c r="V351" s="195"/>
      <c r="W351" s="195"/>
      <c r="X351" s="195"/>
      <c r="Y351" s="195"/>
      <c r="Z351" s="195"/>
      <c r="AA351" s="195"/>
      <c r="AB351" s="195"/>
      <c r="AC351" s="195"/>
      <c r="AD351" s="195"/>
      <c r="AE351" s="195"/>
      <c r="AF351" s="195"/>
      <c r="AG351" s="195"/>
      <c r="AH351" s="195"/>
      <c r="AI351" s="195"/>
      <c r="AJ351" s="195"/>
      <c r="AK351" s="195"/>
      <c r="AL351" s="195"/>
      <c r="AM351" s="195"/>
      <c r="AN351" s="195"/>
      <c r="AO351" s="195"/>
    </row>
    <row r="352" spans="1:41" x14ac:dyDescent="0.2">
      <c r="A352" s="195"/>
      <c r="B352" s="195"/>
      <c r="C352" s="195"/>
      <c r="D352" s="195"/>
      <c r="E352" s="195"/>
      <c r="F352" s="195"/>
      <c r="G352" s="195"/>
      <c r="H352" s="195"/>
      <c r="I352" s="195"/>
      <c r="J352" s="195"/>
      <c r="K352" s="195"/>
      <c r="L352" s="195"/>
      <c r="M352" s="195"/>
      <c r="N352" s="195"/>
      <c r="O352" s="195"/>
      <c r="P352" s="195"/>
      <c r="Q352" s="195"/>
      <c r="R352" s="195"/>
      <c r="S352" s="195"/>
      <c r="T352" s="195"/>
      <c r="U352" s="195"/>
      <c r="V352" s="195"/>
      <c r="W352" s="195"/>
      <c r="X352" s="195"/>
      <c r="Y352" s="195"/>
      <c r="Z352" s="195"/>
      <c r="AA352" s="195"/>
      <c r="AB352" s="195"/>
      <c r="AC352" s="195"/>
      <c r="AD352" s="195"/>
      <c r="AE352" s="195"/>
      <c r="AF352" s="195"/>
      <c r="AG352" s="195"/>
      <c r="AH352" s="195"/>
      <c r="AI352" s="195"/>
      <c r="AJ352" s="195"/>
      <c r="AK352" s="195"/>
      <c r="AL352" s="195"/>
      <c r="AM352" s="195"/>
      <c r="AN352" s="195"/>
      <c r="AO352" s="195"/>
    </row>
    <row r="353" spans="1:41" x14ac:dyDescent="0.2">
      <c r="A353" s="195"/>
      <c r="B353" s="195"/>
      <c r="C353" s="195"/>
      <c r="D353" s="195"/>
      <c r="E353" s="195"/>
      <c r="F353" s="195"/>
      <c r="G353" s="195"/>
      <c r="H353" s="195"/>
      <c r="I353" s="195"/>
      <c r="J353" s="195"/>
      <c r="K353" s="195"/>
      <c r="L353" s="195"/>
      <c r="M353" s="195"/>
      <c r="N353" s="195"/>
      <c r="O353" s="195"/>
      <c r="P353" s="195"/>
      <c r="Q353" s="195"/>
      <c r="R353" s="195"/>
      <c r="S353" s="195"/>
      <c r="T353" s="195"/>
      <c r="U353" s="195"/>
      <c r="V353" s="195"/>
      <c r="W353" s="195"/>
      <c r="X353" s="195"/>
      <c r="Y353" s="195"/>
      <c r="Z353" s="195"/>
      <c r="AA353" s="195"/>
      <c r="AB353" s="195"/>
      <c r="AC353" s="195"/>
      <c r="AD353" s="195"/>
      <c r="AE353" s="195"/>
      <c r="AF353" s="195"/>
      <c r="AG353" s="195"/>
      <c r="AH353" s="195"/>
      <c r="AI353" s="195"/>
      <c r="AJ353" s="195"/>
      <c r="AK353" s="195"/>
      <c r="AL353" s="195"/>
      <c r="AM353" s="195"/>
      <c r="AN353" s="195"/>
      <c r="AO353" s="195"/>
    </row>
    <row r="354" spans="1:41" x14ac:dyDescent="0.2">
      <c r="A354" s="195"/>
      <c r="B354" s="195"/>
      <c r="C354" s="195"/>
      <c r="D354" s="195"/>
      <c r="E354" s="195"/>
      <c r="F354" s="195"/>
      <c r="G354" s="195"/>
      <c r="H354" s="195"/>
      <c r="I354" s="195"/>
      <c r="J354" s="195"/>
      <c r="K354" s="195"/>
      <c r="L354" s="195"/>
      <c r="M354" s="195"/>
      <c r="N354" s="195"/>
      <c r="O354" s="195"/>
      <c r="P354" s="195"/>
      <c r="Q354" s="195"/>
      <c r="R354" s="195"/>
      <c r="S354" s="195"/>
      <c r="T354" s="195"/>
      <c r="U354" s="195"/>
      <c r="V354" s="195"/>
      <c r="W354" s="195"/>
      <c r="X354" s="195"/>
      <c r="Y354" s="195"/>
      <c r="Z354" s="195"/>
      <c r="AA354" s="195"/>
      <c r="AB354" s="195"/>
      <c r="AC354" s="195"/>
      <c r="AD354" s="195"/>
      <c r="AE354" s="195"/>
      <c r="AF354" s="195"/>
      <c r="AG354" s="195"/>
      <c r="AH354" s="195"/>
      <c r="AI354" s="195"/>
      <c r="AJ354" s="195"/>
      <c r="AK354" s="195"/>
      <c r="AL354" s="195"/>
      <c r="AM354" s="195"/>
      <c r="AN354" s="195"/>
      <c r="AO354" s="195"/>
    </row>
    <row r="355" spans="1:41" x14ac:dyDescent="0.2">
      <c r="A355" s="195"/>
      <c r="B355" s="195"/>
      <c r="C355" s="195"/>
      <c r="D355" s="195"/>
      <c r="E355" s="195"/>
      <c r="F355" s="195"/>
      <c r="G355" s="195"/>
      <c r="H355" s="195"/>
      <c r="I355" s="195"/>
      <c r="J355" s="195"/>
      <c r="K355" s="195"/>
      <c r="L355" s="195"/>
      <c r="M355" s="195"/>
      <c r="N355" s="195"/>
      <c r="O355" s="195"/>
      <c r="P355" s="195"/>
      <c r="Q355" s="195"/>
      <c r="R355" s="195"/>
      <c r="S355" s="195"/>
      <c r="T355" s="195"/>
      <c r="U355" s="195"/>
      <c r="V355" s="195"/>
      <c r="W355" s="195"/>
      <c r="X355" s="195"/>
      <c r="Y355" s="195"/>
      <c r="Z355" s="195"/>
      <c r="AA355" s="195"/>
      <c r="AB355" s="195"/>
      <c r="AC355" s="195"/>
      <c r="AD355" s="195"/>
      <c r="AE355" s="195"/>
      <c r="AF355" s="195"/>
      <c r="AG355" s="195"/>
      <c r="AH355" s="195"/>
      <c r="AI355" s="195"/>
      <c r="AJ355" s="195"/>
      <c r="AK355" s="195"/>
      <c r="AL355" s="195"/>
      <c r="AM355" s="195"/>
      <c r="AN355" s="195"/>
      <c r="AO355" s="195"/>
    </row>
    <row r="356" spans="1:41" x14ac:dyDescent="0.2">
      <c r="A356" s="195"/>
      <c r="B356" s="195"/>
      <c r="C356" s="195"/>
      <c r="D356" s="195"/>
      <c r="E356" s="195"/>
      <c r="F356" s="195"/>
      <c r="G356" s="195"/>
      <c r="H356" s="195"/>
      <c r="I356" s="195"/>
      <c r="J356" s="195"/>
      <c r="K356" s="195"/>
      <c r="L356" s="195"/>
      <c r="M356" s="195"/>
      <c r="N356" s="195"/>
      <c r="O356" s="195"/>
      <c r="P356" s="195"/>
      <c r="Q356" s="195"/>
      <c r="R356" s="195"/>
      <c r="S356" s="195"/>
      <c r="T356" s="195"/>
      <c r="U356" s="195"/>
      <c r="V356" s="195"/>
      <c r="W356" s="195"/>
      <c r="X356" s="195"/>
      <c r="Y356" s="195"/>
      <c r="Z356" s="195"/>
      <c r="AA356" s="195"/>
      <c r="AB356" s="195"/>
      <c r="AC356" s="195"/>
      <c r="AD356" s="195"/>
      <c r="AE356" s="195"/>
      <c r="AF356" s="195"/>
      <c r="AG356" s="195"/>
      <c r="AH356" s="195"/>
      <c r="AI356" s="195"/>
      <c r="AJ356" s="195"/>
      <c r="AK356" s="195"/>
      <c r="AL356" s="195"/>
      <c r="AM356" s="195"/>
      <c r="AN356" s="195"/>
      <c r="AO356" s="195"/>
    </row>
    <row r="357" spans="1:41" x14ac:dyDescent="0.2">
      <c r="A357" s="195"/>
      <c r="B357" s="195"/>
      <c r="C357" s="195"/>
      <c r="D357" s="195"/>
      <c r="E357" s="195"/>
      <c r="F357" s="195"/>
      <c r="G357" s="195"/>
      <c r="H357" s="195"/>
      <c r="I357" s="195"/>
      <c r="J357" s="195"/>
      <c r="K357" s="195"/>
      <c r="L357" s="195"/>
      <c r="M357" s="195"/>
      <c r="N357" s="195"/>
      <c r="O357" s="195"/>
      <c r="P357" s="195"/>
      <c r="Q357" s="195"/>
      <c r="R357" s="195"/>
      <c r="S357" s="195"/>
      <c r="T357" s="195"/>
      <c r="U357" s="195"/>
      <c r="V357" s="195"/>
      <c r="W357" s="195"/>
      <c r="X357" s="195"/>
      <c r="Y357" s="195"/>
      <c r="Z357" s="195"/>
      <c r="AA357" s="195"/>
      <c r="AB357" s="195"/>
      <c r="AC357" s="195"/>
      <c r="AD357" s="195"/>
      <c r="AE357" s="195"/>
      <c r="AF357" s="195"/>
      <c r="AG357" s="195"/>
      <c r="AH357" s="195"/>
      <c r="AI357" s="195"/>
      <c r="AJ357" s="195"/>
      <c r="AK357" s="195"/>
      <c r="AL357" s="195"/>
      <c r="AM357" s="195"/>
      <c r="AN357" s="195"/>
      <c r="AO357" s="195"/>
    </row>
    <row r="358" spans="1:41" x14ac:dyDescent="0.2">
      <c r="A358" s="195"/>
      <c r="B358" s="195"/>
      <c r="C358" s="195"/>
      <c r="D358" s="195"/>
      <c r="E358" s="195"/>
      <c r="F358" s="195"/>
      <c r="G358" s="195"/>
      <c r="H358" s="195"/>
      <c r="I358" s="195"/>
      <c r="J358" s="195"/>
      <c r="K358" s="195"/>
      <c r="L358" s="195"/>
      <c r="M358" s="195"/>
      <c r="N358" s="195"/>
      <c r="O358" s="195"/>
      <c r="P358" s="195"/>
      <c r="Q358" s="195"/>
      <c r="R358" s="195"/>
      <c r="S358" s="195"/>
      <c r="T358" s="195"/>
      <c r="U358" s="195"/>
      <c r="V358" s="195"/>
      <c r="W358" s="195"/>
      <c r="X358" s="195"/>
      <c r="Y358" s="195"/>
      <c r="Z358" s="195"/>
      <c r="AA358" s="195"/>
      <c r="AB358" s="195"/>
      <c r="AC358" s="195"/>
      <c r="AD358" s="195"/>
      <c r="AE358" s="195"/>
      <c r="AF358" s="195"/>
      <c r="AG358" s="195"/>
      <c r="AH358" s="195"/>
      <c r="AI358" s="195"/>
      <c r="AJ358" s="195"/>
      <c r="AK358" s="195"/>
      <c r="AL358" s="195"/>
      <c r="AM358" s="195"/>
      <c r="AN358" s="195"/>
      <c r="AO358" s="195"/>
    </row>
    <row r="359" spans="1:41" x14ac:dyDescent="0.2">
      <c r="A359" s="195"/>
      <c r="B359" s="195"/>
      <c r="C359" s="195"/>
      <c r="D359" s="195"/>
      <c r="E359" s="195"/>
      <c r="F359" s="195"/>
      <c r="G359" s="195"/>
      <c r="H359" s="195"/>
      <c r="I359" s="195"/>
      <c r="J359" s="195"/>
      <c r="K359" s="195"/>
      <c r="L359" s="195"/>
      <c r="M359" s="195"/>
      <c r="N359" s="195"/>
      <c r="O359" s="195"/>
      <c r="P359" s="195"/>
      <c r="Q359" s="195"/>
      <c r="R359" s="195"/>
      <c r="S359" s="195"/>
      <c r="T359" s="195"/>
      <c r="U359" s="195"/>
      <c r="V359" s="195"/>
      <c r="W359" s="195"/>
      <c r="X359" s="195"/>
      <c r="Y359" s="195"/>
      <c r="Z359" s="195"/>
      <c r="AA359" s="195"/>
      <c r="AB359" s="195"/>
      <c r="AC359" s="195"/>
      <c r="AD359" s="195"/>
      <c r="AE359" s="195"/>
      <c r="AF359" s="195"/>
      <c r="AG359" s="195"/>
      <c r="AH359" s="195"/>
      <c r="AI359" s="195"/>
      <c r="AJ359" s="195"/>
      <c r="AK359" s="195"/>
      <c r="AL359" s="195"/>
      <c r="AM359" s="195"/>
      <c r="AN359" s="195"/>
      <c r="AO359" s="195"/>
    </row>
    <row r="360" spans="1:41" x14ac:dyDescent="0.2">
      <c r="A360" s="195"/>
      <c r="B360" s="195"/>
      <c r="C360" s="195"/>
      <c r="D360" s="195"/>
      <c r="E360" s="195"/>
      <c r="F360" s="195"/>
      <c r="G360" s="195"/>
      <c r="H360" s="195"/>
      <c r="I360" s="195"/>
      <c r="J360" s="195"/>
      <c r="K360" s="195"/>
      <c r="L360" s="195"/>
      <c r="M360" s="195"/>
      <c r="N360" s="195"/>
      <c r="O360" s="195"/>
      <c r="P360" s="195"/>
      <c r="Q360" s="195"/>
      <c r="R360" s="195"/>
      <c r="S360" s="195"/>
      <c r="T360" s="195"/>
      <c r="U360" s="195"/>
      <c r="V360" s="195"/>
      <c r="W360" s="195"/>
      <c r="X360" s="195"/>
      <c r="Y360" s="195"/>
      <c r="Z360" s="195"/>
      <c r="AA360" s="195"/>
      <c r="AB360" s="195"/>
      <c r="AC360" s="195"/>
      <c r="AD360" s="195"/>
      <c r="AE360" s="195"/>
      <c r="AF360" s="195"/>
      <c r="AG360" s="195"/>
      <c r="AH360" s="195"/>
      <c r="AI360" s="195"/>
      <c r="AJ360" s="195"/>
      <c r="AK360" s="195"/>
      <c r="AL360" s="195"/>
      <c r="AM360" s="195"/>
      <c r="AN360" s="195"/>
      <c r="AO360" s="195"/>
    </row>
    <row r="361" spans="1:41" x14ac:dyDescent="0.2">
      <c r="A361" s="195"/>
      <c r="B361" s="195"/>
      <c r="C361" s="195"/>
      <c r="D361" s="195"/>
      <c r="E361" s="195"/>
      <c r="F361" s="195"/>
      <c r="G361" s="195"/>
      <c r="H361" s="195"/>
      <c r="I361" s="195"/>
      <c r="J361" s="195"/>
      <c r="K361" s="195"/>
      <c r="L361" s="195"/>
      <c r="M361" s="195"/>
      <c r="N361" s="195"/>
      <c r="O361" s="195"/>
      <c r="P361" s="195"/>
      <c r="Q361" s="195"/>
      <c r="R361" s="195"/>
      <c r="S361" s="195"/>
      <c r="T361" s="195"/>
      <c r="U361" s="195"/>
      <c r="V361" s="195"/>
      <c r="W361" s="195"/>
      <c r="X361" s="195"/>
      <c r="Y361" s="195"/>
      <c r="Z361" s="195"/>
      <c r="AA361" s="195"/>
      <c r="AB361" s="195"/>
      <c r="AC361" s="195"/>
      <c r="AD361" s="195"/>
      <c r="AE361" s="195"/>
      <c r="AF361" s="195"/>
      <c r="AG361" s="195"/>
      <c r="AH361" s="195"/>
      <c r="AI361" s="195"/>
      <c r="AJ361" s="195"/>
      <c r="AK361" s="195"/>
      <c r="AL361" s="195"/>
      <c r="AM361" s="195"/>
      <c r="AN361" s="195"/>
      <c r="AO361" s="195"/>
    </row>
    <row r="362" spans="1:41" x14ac:dyDescent="0.2">
      <c r="A362" s="195"/>
      <c r="B362" s="195"/>
      <c r="C362" s="195"/>
      <c r="D362" s="195"/>
      <c r="E362" s="195"/>
      <c r="F362" s="195"/>
      <c r="G362" s="195"/>
      <c r="H362" s="195"/>
      <c r="I362" s="195"/>
      <c r="J362" s="195"/>
      <c r="K362" s="195"/>
      <c r="L362" s="195"/>
      <c r="M362" s="195"/>
      <c r="N362" s="195"/>
      <c r="O362" s="195"/>
      <c r="P362" s="195"/>
      <c r="Q362" s="195"/>
      <c r="R362" s="195"/>
      <c r="S362" s="195"/>
      <c r="T362" s="195"/>
      <c r="U362" s="195"/>
      <c r="V362" s="195"/>
      <c r="W362" s="195"/>
      <c r="X362" s="195"/>
      <c r="Y362" s="195"/>
      <c r="Z362" s="195"/>
      <c r="AA362" s="195"/>
      <c r="AB362" s="195"/>
      <c r="AC362" s="195"/>
      <c r="AD362" s="195"/>
      <c r="AE362" s="195"/>
      <c r="AF362" s="195"/>
      <c r="AG362" s="195"/>
      <c r="AH362" s="195"/>
      <c r="AI362" s="195"/>
      <c r="AJ362" s="195"/>
      <c r="AK362" s="195"/>
      <c r="AL362" s="195"/>
      <c r="AM362" s="195"/>
      <c r="AN362" s="195"/>
      <c r="AO362" s="195"/>
    </row>
    <row r="363" spans="1:41" x14ac:dyDescent="0.2">
      <c r="A363" s="195"/>
      <c r="B363" s="195"/>
      <c r="C363" s="195"/>
      <c r="D363" s="195"/>
      <c r="E363" s="195"/>
      <c r="F363" s="195"/>
      <c r="G363" s="195"/>
      <c r="H363" s="195"/>
      <c r="I363" s="195"/>
      <c r="J363" s="195"/>
      <c r="K363" s="195"/>
      <c r="L363" s="195"/>
      <c r="M363" s="195"/>
      <c r="N363" s="195"/>
      <c r="O363" s="195"/>
      <c r="P363" s="195"/>
      <c r="Q363" s="195"/>
      <c r="R363" s="195"/>
      <c r="S363" s="195"/>
      <c r="T363" s="195"/>
      <c r="U363" s="195"/>
      <c r="V363" s="195"/>
      <c r="W363" s="195"/>
      <c r="X363" s="195"/>
      <c r="Y363" s="195"/>
      <c r="Z363" s="195"/>
      <c r="AA363" s="195"/>
      <c r="AB363" s="195"/>
      <c r="AC363" s="195"/>
      <c r="AD363" s="195"/>
      <c r="AE363" s="195"/>
      <c r="AF363" s="195"/>
      <c r="AG363" s="195"/>
      <c r="AH363" s="195"/>
      <c r="AI363" s="195"/>
      <c r="AJ363" s="195"/>
      <c r="AK363" s="195"/>
      <c r="AL363" s="195"/>
      <c r="AM363" s="195"/>
      <c r="AN363" s="195"/>
      <c r="AO363" s="195"/>
    </row>
    <row r="364" spans="1:41" x14ac:dyDescent="0.2">
      <c r="A364" s="195"/>
      <c r="B364" s="195"/>
      <c r="C364" s="195"/>
      <c r="D364" s="195"/>
      <c r="E364" s="195"/>
      <c r="F364" s="195"/>
      <c r="G364" s="195"/>
      <c r="H364" s="195"/>
      <c r="I364" s="195"/>
      <c r="J364" s="195"/>
      <c r="K364" s="195"/>
      <c r="L364" s="195"/>
      <c r="M364" s="195"/>
      <c r="N364" s="195"/>
      <c r="O364" s="195"/>
      <c r="P364" s="195"/>
      <c r="Q364" s="195"/>
      <c r="R364" s="195"/>
      <c r="S364" s="195"/>
      <c r="T364" s="195"/>
      <c r="U364" s="195"/>
      <c r="V364" s="195"/>
      <c r="W364" s="195"/>
      <c r="X364" s="195"/>
      <c r="Y364" s="195"/>
      <c r="Z364" s="195"/>
      <c r="AA364" s="195"/>
      <c r="AB364" s="195"/>
      <c r="AC364" s="195"/>
      <c r="AD364" s="195"/>
      <c r="AE364" s="195"/>
      <c r="AF364" s="195"/>
      <c r="AG364" s="195"/>
      <c r="AH364" s="195"/>
      <c r="AI364" s="195"/>
      <c r="AJ364" s="195"/>
      <c r="AK364" s="195"/>
      <c r="AL364" s="195"/>
      <c r="AM364" s="195"/>
      <c r="AN364" s="195"/>
      <c r="AO364" s="195"/>
    </row>
    <row r="365" spans="1:41" x14ac:dyDescent="0.2">
      <c r="A365" s="195"/>
      <c r="B365" s="195"/>
      <c r="C365" s="195"/>
      <c r="D365" s="195"/>
      <c r="E365" s="195"/>
      <c r="F365" s="195"/>
      <c r="G365" s="195"/>
      <c r="H365" s="195"/>
      <c r="I365" s="195"/>
      <c r="J365" s="195"/>
      <c r="K365" s="195"/>
      <c r="L365" s="195"/>
      <c r="M365" s="195"/>
      <c r="N365" s="195"/>
      <c r="O365" s="195"/>
      <c r="P365" s="195"/>
      <c r="Q365" s="195"/>
      <c r="R365" s="195"/>
      <c r="S365" s="195"/>
      <c r="T365" s="195"/>
      <c r="U365" s="195"/>
      <c r="V365" s="195"/>
      <c r="W365" s="195"/>
      <c r="X365" s="195"/>
      <c r="Y365" s="195"/>
      <c r="Z365" s="195"/>
      <c r="AA365" s="195"/>
      <c r="AB365" s="195"/>
      <c r="AC365" s="195"/>
      <c r="AD365" s="195"/>
      <c r="AE365" s="195"/>
      <c r="AF365" s="195"/>
      <c r="AG365" s="195"/>
      <c r="AH365" s="195"/>
      <c r="AI365" s="195"/>
      <c r="AJ365" s="195"/>
      <c r="AK365" s="195"/>
      <c r="AL365" s="195"/>
      <c r="AM365" s="195"/>
      <c r="AN365" s="195"/>
      <c r="AO365" s="195"/>
    </row>
    <row r="366" spans="1:41" x14ac:dyDescent="0.2">
      <c r="A366" s="195"/>
      <c r="B366" s="195"/>
      <c r="C366" s="195"/>
      <c r="D366" s="195"/>
      <c r="E366" s="195"/>
      <c r="F366" s="195"/>
      <c r="G366" s="195"/>
      <c r="H366" s="195"/>
      <c r="I366" s="195"/>
      <c r="J366" s="195"/>
      <c r="K366" s="195"/>
      <c r="L366" s="195"/>
      <c r="M366" s="195"/>
      <c r="N366" s="195"/>
      <c r="O366" s="195"/>
      <c r="P366" s="195"/>
      <c r="Q366" s="195"/>
      <c r="R366" s="195"/>
      <c r="S366" s="195"/>
      <c r="T366" s="195"/>
      <c r="U366" s="195"/>
      <c r="V366" s="195"/>
      <c r="W366" s="195"/>
      <c r="X366" s="195"/>
      <c r="Y366" s="195"/>
      <c r="Z366" s="195"/>
      <c r="AA366" s="195"/>
      <c r="AB366" s="195"/>
      <c r="AC366" s="195"/>
      <c r="AD366" s="195"/>
      <c r="AE366" s="195"/>
      <c r="AF366" s="195"/>
      <c r="AG366" s="195"/>
      <c r="AH366" s="195"/>
      <c r="AI366" s="195"/>
      <c r="AJ366" s="195"/>
      <c r="AK366" s="195"/>
      <c r="AL366" s="195"/>
      <c r="AM366" s="195"/>
      <c r="AN366" s="195"/>
      <c r="AO366" s="195"/>
    </row>
    <row r="367" spans="1:41" x14ac:dyDescent="0.2">
      <c r="A367" s="195"/>
      <c r="B367" s="195"/>
      <c r="C367" s="195"/>
      <c r="D367" s="195"/>
      <c r="E367" s="195"/>
      <c r="F367" s="195"/>
      <c r="G367" s="195"/>
      <c r="H367" s="195"/>
      <c r="I367" s="195"/>
      <c r="J367" s="195"/>
      <c r="K367" s="195"/>
      <c r="L367" s="195"/>
      <c r="M367" s="195"/>
      <c r="N367" s="195"/>
      <c r="O367" s="195"/>
      <c r="P367" s="195"/>
      <c r="Q367" s="195"/>
      <c r="R367" s="195"/>
      <c r="S367" s="195"/>
      <c r="T367" s="195"/>
      <c r="U367" s="195"/>
      <c r="V367" s="195"/>
      <c r="W367" s="195"/>
      <c r="X367" s="195"/>
      <c r="Y367" s="195"/>
      <c r="Z367" s="195"/>
      <c r="AA367" s="195"/>
      <c r="AB367" s="195"/>
      <c r="AC367" s="195"/>
      <c r="AD367" s="195"/>
      <c r="AE367" s="195"/>
      <c r="AF367" s="195"/>
      <c r="AG367" s="195"/>
      <c r="AH367" s="195"/>
      <c r="AI367" s="195"/>
      <c r="AJ367" s="195"/>
      <c r="AK367" s="195"/>
      <c r="AL367" s="195"/>
      <c r="AM367" s="195"/>
      <c r="AN367" s="195"/>
      <c r="AO367" s="195"/>
    </row>
    <row r="368" spans="1:41" x14ac:dyDescent="0.2">
      <c r="A368" s="195"/>
      <c r="B368" s="195"/>
      <c r="C368" s="195"/>
      <c r="D368" s="195"/>
      <c r="E368" s="195"/>
      <c r="F368" s="195"/>
      <c r="G368" s="195"/>
      <c r="H368" s="195"/>
      <c r="I368" s="195"/>
      <c r="J368" s="195"/>
      <c r="K368" s="195"/>
      <c r="L368" s="195"/>
      <c r="M368" s="195"/>
      <c r="N368" s="195"/>
      <c r="O368" s="195"/>
      <c r="P368" s="195"/>
      <c r="Q368" s="195"/>
      <c r="R368" s="195"/>
      <c r="S368" s="195"/>
      <c r="T368" s="195"/>
      <c r="U368" s="195"/>
      <c r="V368" s="195"/>
      <c r="W368" s="195"/>
      <c r="X368" s="195"/>
      <c r="Y368" s="195"/>
      <c r="Z368" s="195"/>
      <c r="AA368" s="195"/>
      <c r="AB368" s="195"/>
      <c r="AC368" s="195"/>
      <c r="AD368" s="195"/>
      <c r="AE368" s="195"/>
      <c r="AF368" s="195"/>
      <c r="AG368" s="195"/>
      <c r="AH368" s="195"/>
      <c r="AI368" s="195"/>
      <c r="AJ368" s="195"/>
      <c r="AK368" s="195"/>
      <c r="AL368" s="195"/>
      <c r="AM368" s="195"/>
      <c r="AN368" s="195"/>
      <c r="AO368" s="195"/>
    </row>
    <row r="369" spans="1:41" x14ac:dyDescent="0.2">
      <c r="A369" s="195"/>
      <c r="B369" s="195"/>
      <c r="C369" s="195"/>
      <c r="D369" s="195"/>
      <c r="E369" s="195"/>
      <c r="F369" s="195"/>
      <c r="G369" s="195"/>
      <c r="H369" s="195"/>
      <c r="I369" s="195"/>
      <c r="J369" s="195"/>
      <c r="K369" s="195"/>
      <c r="L369" s="195"/>
      <c r="M369" s="195"/>
      <c r="N369" s="195"/>
      <c r="O369" s="195"/>
      <c r="P369" s="195"/>
      <c r="Q369" s="195"/>
      <c r="R369" s="195"/>
      <c r="S369" s="195"/>
      <c r="T369" s="195"/>
      <c r="U369" s="195"/>
      <c r="V369" s="195"/>
      <c r="W369" s="195"/>
      <c r="X369" s="195"/>
      <c r="Y369" s="195"/>
      <c r="Z369" s="195"/>
      <c r="AA369" s="195"/>
      <c r="AB369" s="195"/>
      <c r="AC369" s="195"/>
      <c r="AD369" s="195"/>
      <c r="AE369" s="195"/>
      <c r="AF369" s="195"/>
      <c r="AG369" s="195"/>
      <c r="AH369" s="195"/>
      <c r="AI369" s="195"/>
      <c r="AJ369" s="195"/>
      <c r="AK369" s="195"/>
      <c r="AL369" s="195"/>
      <c r="AM369" s="195"/>
      <c r="AN369" s="195"/>
      <c r="AO369" s="195"/>
    </row>
    <row r="370" spans="1:41" x14ac:dyDescent="0.2">
      <c r="A370" s="195"/>
      <c r="B370" s="195"/>
      <c r="C370" s="195"/>
      <c r="D370" s="195"/>
      <c r="E370" s="195"/>
      <c r="F370" s="195"/>
      <c r="G370" s="195"/>
      <c r="H370" s="195"/>
      <c r="I370" s="195"/>
      <c r="J370" s="195"/>
      <c r="K370" s="195"/>
      <c r="L370" s="195"/>
      <c r="M370" s="195"/>
      <c r="N370" s="195"/>
      <c r="O370" s="195"/>
      <c r="P370" s="195"/>
      <c r="Q370" s="195"/>
      <c r="R370" s="195"/>
      <c r="S370" s="195"/>
      <c r="T370" s="195"/>
      <c r="U370" s="195"/>
      <c r="V370" s="195"/>
      <c r="W370" s="195"/>
      <c r="X370" s="195"/>
      <c r="Y370" s="195"/>
      <c r="Z370" s="195"/>
      <c r="AA370" s="195"/>
      <c r="AB370" s="195"/>
      <c r="AC370" s="195"/>
      <c r="AD370" s="195"/>
      <c r="AE370" s="195"/>
      <c r="AF370" s="195"/>
      <c r="AG370" s="195"/>
      <c r="AH370" s="195"/>
      <c r="AI370" s="195"/>
      <c r="AJ370" s="195"/>
      <c r="AK370" s="195"/>
      <c r="AL370" s="195"/>
      <c r="AM370" s="195"/>
      <c r="AN370" s="195"/>
      <c r="AO370" s="195"/>
    </row>
    <row r="371" spans="1:41" x14ac:dyDescent="0.2">
      <c r="A371" s="195"/>
      <c r="B371" s="195"/>
      <c r="C371" s="195"/>
      <c r="D371" s="195"/>
      <c r="E371" s="195"/>
      <c r="F371" s="195"/>
      <c r="G371" s="195"/>
      <c r="H371" s="195"/>
      <c r="I371" s="195"/>
      <c r="J371" s="195"/>
      <c r="K371" s="195"/>
      <c r="L371" s="195"/>
      <c r="M371" s="195"/>
      <c r="N371" s="195"/>
      <c r="O371" s="195"/>
      <c r="P371" s="195"/>
      <c r="Q371" s="195"/>
      <c r="R371" s="195"/>
      <c r="S371" s="195"/>
      <c r="T371" s="195"/>
      <c r="U371" s="195"/>
      <c r="V371" s="195"/>
      <c r="W371" s="195"/>
      <c r="X371" s="195"/>
      <c r="Y371" s="195"/>
      <c r="Z371" s="195"/>
      <c r="AA371" s="195"/>
      <c r="AB371" s="195"/>
      <c r="AC371" s="195"/>
      <c r="AD371" s="195"/>
      <c r="AE371" s="195"/>
      <c r="AF371" s="195"/>
      <c r="AG371" s="195"/>
      <c r="AH371" s="195"/>
      <c r="AI371" s="195"/>
      <c r="AJ371" s="195"/>
      <c r="AK371" s="195"/>
      <c r="AL371" s="195"/>
      <c r="AM371" s="195"/>
      <c r="AN371" s="195"/>
      <c r="AO371" s="195"/>
    </row>
    <row r="372" spans="1:41" x14ac:dyDescent="0.2">
      <c r="A372" s="195"/>
      <c r="B372" s="195"/>
      <c r="C372" s="195"/>
      <c r="D372" s="195"/>
      <c r="E372" s="195"/>
      <c r="F372" s="195"/>
      <c r="G372" s="195"/>
      <c r="H372" s="195"/>
      <c r="I372" s="195"/>
      <c r="J372" s="195"/>
      <c r="K372" s="195"/>
      <c r="L372" s="195"/>
      <c r="M372" s="195"/>
      <c r="N372" s="195"/>
      <c r="O372" s="195"/>
      <c r="P372" s="195"/>
      <c r="Q372" s="195"/>
      <c r="R372" s="195"/>
      <c r="S372" s="195"/>
      <c r="T372" s="195"/>
      <c r="U372" s="195"/>
      <c r="V372" s="195"/>
      <c r="W372" s="195"/>
      <c r="X372" s="195"/>
      <c r="Y372" s="195"/>
      <c r="Z372" s="195"/>
      <c r="AA372" s="195"/>
      <c r="AB372" s="195"/>
      <c r="AC372" s="195"/>
      <c r="AD372" s="195"/>
      <c r="AE372" s="195"/>
      <c r="AF372" s="195"/>
      <c r="AG372" s="195"/>
      <c r="AH372" s="195"/>
      <c r="AI372" s="195"/>
      <c r="AJ372" s="195"/>
      <c r="AK372" s="195"/>
      <c r="AL372" s="195"/>
      <c r="AM372" s="195"/>
      <c r="AN372" s="195"/>
      <c r="AO372" s="195"/>
    </row>
    <row r="373" spans="1:41" x14ac:dyDescent="0.2">
      <c r="A373" s="195"/>
      <c r="B373" s="195"/>
      <c r="C373" s="195"/>
      <c r="D373" s="195"/>
      <c r="E373" s="195"/>
      <c r="F373" s="195"/>
      <c r="G373" s="195"/>
      <c r="H373" s="195"/>
      <c r="I373" s="195"/>
      <c r="J373" s="195"/>
      <c r="K373" s="195"/>
      <c r="L373" s="195"/>
      <c r="M373" s="195"/>
      <c r="N373" s="195"/>
      <c r="O373" s="195"/>
      <c r="P373" s="195"/>
      <c r="Q373" s="195"/>
      <c r="R373" s="195"/>
      <c r="S373" s="195"/>
      <c r="T373" s="195"/>
      <c r="U373" s="195"/>
      <c r="V373" s="195"/>
      <c r="W373" s="195"/>
      <c r="X373" s="195"/>
      <c r="Y373" s="195"/>
      <c r="Z373" s="195"/>
      <c r="AA373" s="195"/>
      <c r="AB373" s="195"/>
      <c r="AC373" s="195"/>
      <c r="AD373" s="195"/>
      <c r="AE373" s="195"/>
      <c r="AF373" s="195"/>
      <c r="AG373" s="195"/>
      <c r="AH373" s="195"/>
      <c r="AI373" s="195"/>
      <c r="AJ373" s="195"/>
      <c r="AK373" s="195"/>
      <c r="AL373" s="195"/>
      <c r="AM373" s="195"/>
      <c r="AN373" s="195"/>
      <c r="AO373" s="195"/>
    </row>
    <row r="374" spans="1:41" x14ac:dyDescent="0.2">
      <c r="A374" s="195"/>
      <c r="B374" s="195"/>
      <c r="C374" s="195"/>
      <c r="D374" s="195"/>
      <c r="E374" s="195"/>
      <c r="F374" s="195"/>
      <c r="G374" s="195"/>
      <c r="H374" s="195"/>
      <c r="I374" s="195"/>
      <c r="J374" s="195"/>
      <c r="K374" s="195"/>
      <c r="L374" s="195"/>
      <c r="M374" s="195"/>
      <c r="N374" s="195"/>
      <c r="O374" s="195"/>
      <c r="P374" s="195"/>
      <c r="Q374" s="195"/>
      <c r="R374" s="195"/>
      <c r="S374" s="195"/>
      <c r="T374" s="195"/>
      <c r="U374" s="195"/>
      <c r="V374" s="195"/>
      <c r="W374" s="195"/>
      <c r="X374" s="195"/>
      <c r="Y374" s="195"/>
      <c r="Z374" s="195"/>
      <c r="AA374" s="195"/>
      <c r="AB374" s="195"/>
      <c r="AC374" s="195"/>
      <c r="AD374" s="195"/>
      <c r="AE374" s="195"/>
      <c r="AF374" s="195"/>
      <c r="AG374" s="195"/>
      <c r="AH374" s="195"/>
      <c r="AI374" s="195"/>
      <c r="AJ374" s="195"/>
      <c r="AK374" s="195"/>
      <c r="AL374" s="195"/>
      <c r="AM374" s="195"/>
      <c r="AN374" s="195"/>
      <c r="AO374" s="195"/>
    </row>
    <row r="375" spans="1:41" x14ac:dyDescent="0.2">
      <c r="A375" s="195"/>
      <c r="B375" s="195"/>
      <c r="C375" s="195"/>
      <c r="D375" s="195"/>
      <c r="E375" s="195"/>
      <c r="F375" s="195"/>
      <c r="G375" s="195"/>
      <c r="H375" s="195"/>
      <c r="I375" s="195"/>
      <c r="J375" s="195"/>
      <c r="K375" s="195"/>
      <c r="L375" s="195"/>
      <c r="M375" s="195"/>
      <c r="N375" s="195"/>
      <c r="O375" s="195"/>
      <c r="P375" s="195"/>
      <c r="Q375" s="195"/>
      <c r="R375" s="195"/>
      <c r="S375" s="195"/>
      <c r="T375" s="195"/>
      <c r="U375" s="195"/>
      <c r="V375" s="195"/>
      <c r="W375" s="195"/>
      <c r="X375" s="195"/>
      <c r="Y375" s="195"/>
      <c r="Z375" s="195"/>
      <c r="AA375" s="195"/>
      <c r="AB375" s="195"/>
      <c r="AC375" s="195"/>
      <c r="AD375" s="195"/>
      <c r="AE375" s="195"/>
      <c r="AF375" s="195"/>
      <c r="AG375" s="195"/>
      <c r="AH375" s="195"/>
      <c r="AI375" s="195"/>
      <c r="AJ375" s="195"/>
      <c r="AK375" s="195"/>
      <c r="AL375" s="195"/>
      <c r="AM375" s="195"/>
      <c r="AN375" s="195"/>
      <c r="AO375" s="195"/>
    </row>
    <row r="376" spans="1:41" x14ac:dyDescent="0.2">
      <c r="A376" s="195"/>
      <c r="B376" s="195"/>
      <c r="C376" s="195"/>
      <c r="D376" s="195"/>
      <c r="E376" s="195"/>
      <c r="F376" s="195"/>
      <c r="G376" s="195"/>
      <c r="H376" s="195"/>
      <c r="I376" s="195"/>
      <c r="J376" s="195"/>
      <c r="K376" s="195"/>
      <c r="L376" s="195"/>
      <c r="M376" s="195"/>
      <c r="N376" s="195"/>
      <c r="O376" s="195"/>
      <c r="P376" s="195"/>
      <c r="Q376" s="195"/>
      <c r="R376" s="195"/>
      <c r="S376" s="195"/>
      <c r="T376" s="195"/>
      <c r="U376" s="195"/>
      <c r="V376" s="195"/>
      <c r="W376" s="195"/>
      <c r="X376" s="195"/>
      <c r="Y376" s="195"/>
      <c r="Z376" s="195"/>
      <c r="AA376" s="195"/>
      <c r="AB376" s="195"/>
      <c r="AC376" s="195"/>
      <c r="AD376" s="195"/>
      <c r="AE376" s="195"/>
      <c r="AF376" s="195"/>
      <c r="AG376" s="195"/>
      <c r="AH376" s="195"/>
      <c r="AI376" s="195"/>
      <c r="AJ376" s="195"/>
      <c r="AK376" s="195"/>
      <c r="AL376" s="195"/>
      <c r="AM376" s="195"/>
      <c r="AN376" s="195"/>
      <c r="AO376" s="195"/>
    </row>
    <row r="377" spans="1:41" x14ac:dyDescent="0.2">
      <c r="A377" s="195"/>
      <c r="B377" s="195"/>
      <c r="C377" s="195"/>
      <c r="D377" s="195"/>
      <c r="E377" s="195"/>
      <c r="F377" s="195"/>
      <c r="G377" s="195"/>
      <c r="H377" s="195"/>
      <c r="I377" s="195"/>
      <c r="J377" s="195"/>
      <c r="K377" s="195"/>
      <c r="L377" s="195"/>
      <c r="M377" s="195"/>
      <c r="N377" s="195"/>
      <c r="O377" s="195"/>
      <c r="P377" s="195"/>
      <c r="Q377" s="195"/>
      <c r="R377" s="195"/>
      <c r="S377" s="195"/>
      <c r="T377" s="195"/>
      <c r="U377" s="195"/>
      <c r="V377" s="195"/>
      <c r="W377" s="195"/>
      <c r="X377" s="195"/>
      <c r="Y377" s="195"/>
      <c r="Z377" s="195"/>
      <c r="AA377" s="195"/>
      <c r="AB377" s="195"/>
      <c r="AC377" s="195"/>
      <c r="AD377" s="195"/>
      <c r="AE377" s="195"/>
      <c r="AF377" s="195"/>
      <c r="AG377" s="195"/>
      <c r="AH377" s="195"/>
      <c r="AI377" s="195"/>
      <c r="AJ377" s="195"/>
      <c r="AK377" s="195"/>
      <c r="AL377" s="195"/>
      <c r="AM377" s="195"/>
      <c r="AN377" s="195"/>
      <c r="AO377" s="195"/>
    </row>
    <row r="378" spans="1:41" x14ac:dyDescent="0.2">
      <c r="A378" s="195"/>
      <c r="B378" s="195"/>
      <c r="C378" s="195"/>
      <c r="D378" s="195"/>
      <c r="E378" s="195"/>
      <c r="F378" s="195"/>
      <c r="G378" s="195"/>
      <c r="H378" s="195"/>
      <c r="I378" s="195"/>
      <c r="J378" s="195"/>
      <c r="K378" s="195"/>
      <c r="L378" s="195"/>
      <c r="M378" s="195"/>
      <c r="N378" s="195"/>
      <c r="O378" s="195"/>
      <c r="P378" s="195"/>
      <c r="Q378" s="195"/>
      <c r="R378" s="195"/>
      <c r="S378" s="195"/>
      <c r="T378" s="195"/>
      <c r="U378" s="195"/>
      <c r="V378" s="195"/>
      <c r="W378" s="195"/>
      <c r="X378" s="195"/>
      <c r="Y378" s="195"/>
      <c r="Z378" s="195"/>
      <c r="AA378" s="195"/>
      <c r="AB378" s="195"/>
      <c r="AC378" s="195"/>
      <c r="AD378" s="195"/>
      <c r="AE378" s="195"/>
      <c r="AF378" s="195"/>
      <c r="AG378" s="195"/>
      <c r="AH378" s="195"/>
      <c r="AI378" s="195"/>
      <c r="AJ378" s="195"/>
      <c r="AK378" s="195"/>
      <c r="AL378" s="195"/>
      <c r="AM378" s="195"/>
      <c r="AN378" s="195"/>
      <c r="AO378" s="195"/>
    </row>
    <row r="379" spans="1:41" x14ac:dyDescent="0.2">
      <c r="A379" s="195"/>
      <c r="B379" s="195"/>
      <c r="C379" s="195"/>
      <c r="D379" s="195"/>
      <c r="E379" s="195"/>
      <c r="F379" s="195"/>
      <c r="G379" s="195"/>
      <c r="H379" s="195"/>
      <c r="I379" s="195"/>
      <c r="J379" s="195"/>
      <c r="K379" s="195"/>
      <c r="L379" s="195"/>
      <c r="M379" s="195"/>
      <c r="N379" s="195"/>
      <c r="O379" s="195"/>
      <c r="P379" s="195"/>
      <c r="Q379" s="195"/>
      <c r="R379" s="195"/>
      <c r="S379" s="195"/>
      <c r="T379" s="195"/>
      <c r="U379" s="195"/>
      <c r="V379" s="195"/>
      <c r="W379" s="195"/>
      <c r="X379" s="195"/>
      <c r="Y379" s="195"/>
      <c r="Z379" s="195"/>
      <c r="AA379" s="195"/>
      <c r="AB379" s="195"/>
      <c r="AC379" s="195"/>
      <c r="AD379" s="195"/>
      <c r="AE379" s="195"/>
      <c r="AF379" s="195"/>
      <c r="AG379" s="195"/>
      <c r="AH379" s="195"/>
      <c r="AI379" s="195"/>
      <c r="AJ379" s="195"/>
      <c r="AK379" s="195"/>
      <c r="AL379" s="195"/>
      <c r="AM379" s="195"/>
      <c r="AN379" s="195"/>
      <c r="AO379" s="195"/>
    </row>
    <row r="380" spans="1:41" x14ac:dyDescent="0.2">
      <c r="A380" s="195"/>
      <c r="B380" s="195"/>
      <c r="C380" s="195"/>
      <c r="D380" s="195"/>
      <c r="E380" s="195"/>
      <c r="F380" s="195"/>
      <c r="G380" s="195"/>
      <c r="H380" s="195"/>
      <c r="I380" s="195"/>
      <c r="J380" s="195"/>
      <c r="K380" s="195"/>
      <c r="L380" s="195"/>
      <c r="M380" s="195"/>
      <c r="N380" s="195"/>
      <c r="O380" s="195"/>
      <c r="P380" s="195"/>
      <c r="Q380" s="195"/>
      <c r="R380" s="195"/>
      <c r="S380" s="195"/>
      <c r="T380" s="195"/>
      <c r="U380" s="195"/>
      <c r="V380" s="195"/>
      <c r="W380" s="195"/>
      <c r="X380" s="195"/>
      <c r="Y380" s="195"/>
      <c r="Z380" s="195"/>
      <c r="AA380" s="195"/>
      <c r="AB380" s="195"/>
      <c r="AC380" s="195"/>
      <c r="AD380" s="195"/>
      <c r="AE380" s="195"/>
      <c r="AF380" s="195"/>
      <c r="AG380" s="195"/>
      <c r="AH380" s="195"/>
      <c r="AI380" s="195"/>
      <c r="AJ380" s="195"/>
      <c r="AK380" s="195"/>
      <c r="AL380" s="195"/>
      <c r="AM380" s="195"/>
      <c r="AN380" s="195"/>
      <c r="AO380" s="195"/>
    </row>
    <row r="381" spans="1:41" x14ac:dyDescent="0.2">
      <c r="A381" s="195"/>
      <c r="B381" s="195"/>
      <c r="C381" s="195"/>
      <c r="D381" s="195"/>
      <c r="E381" s="195"/>
      <c r="F381" s="195"/>
      <c r="G381" s="195"/>
      <c r="H381" s="195"/>
      <c r="I381" s="195"/>
      <c r="J381" s="195"/>
      <c r="K381" s="195"/>
      <c r="L381" s="195"/>
      <c r="M381" s="195"/>
      <c r="N381" s="195"/>
      <c r="O381" s="195"/>
      <c r="P381" s="195"/>
      <c r="Q381" s="195"/>
      <c r="R381" s="195"/>
      <c r="S381" s="195"/>
      <c r="T381" s="195"/>
      <c r="U381" s="195"/>
      <c r="V381" s="195"/>
      <c r="W381" s="195"/>
      <c r="X381" s="195"/>
      <c r="Y381" s="195"/>
      <c r="Z381" s="195"/>
      <c r="AA381" s="195"/>
      <c r="AB381" s="195"/>
      <c r="AC381" s="195"/>
      <c r="AD381" s="195"/>
      <c r="AE381" s="195"/>
      <c r="AF381" s="195"/>
      <c r="AG381" s="195"/>
      <c r="AH381" s="195"/>
      <c r="AI381" s="195"/>
      <c r="AJ381" s="195"/>
      <c r="AK381" s="195"/>
      <c r="AL381" s="195"/>
      <c r="AM381" s="195"/>
      <c r="AN381" s="195"/>
      <c r="AO381" s="195"/>
    </row>
    <row r="382" spans="1:41" x14ac:dyDescent="0.2">
      <c r="A382" s="195"/>
      <c r="B382" s="195"/>
      <c r="C382" s="195"/>
      <c r="D382" s="195"/>
      <c r="E382" s="195"/>
      <c r="F382" s="195"/>
      <c r="G382" s="195"/>
      <c r="H382" s="195"/>
      <c r="I382" s="195"/>
      <c r="J382" s="195"/>
      <c r="K382" s="195"/>
      <c r="L382" s="195"/>
      <c r="M382" s="195"/>
      <c r="N382" s="195"/>
      <c r="O382" s="195"/>
      <c r="P382" s="195"/>
      <c r="Q382" s="195"/>
      <c r="R382" s="195"/>
      <c r="S382" s="195"/>
      <c r="T382" s="195"/>
      <c r="U382" s="195"/>
      <c r="V382" s="195"/>
      <c r="W382" s="195"/>
      <c r="X382" s="195"/>
      <c r="Y382" s="195"/>
      <c r="Z382" s="195"/>
      <c r="AA382" s="195"/>
      <c r="AB382" s="195"/>
      <c r="AC382" s="195"/>
      <c r="AD382" s="195"/>
      <c r="AE382" s="195"/>
      <c r="AF382" s="195"/>
      <c r="AG382" s="195"/>
      <c r="AH382" s="195"/>
      <c r="AI382" s="195"/>
      <c r="AJ382" s="195"/>
      <c r="AK382" s="195"/>
      <c r="AL382" s="195"/>
      <c r="AM382" s="195"/>
      <c r="AN382" s="195"/>
      <c r="AO382" s="195"/>
    </row>
    <row r="383" spans="1:41" x14ac:dyDescent="0.2">
      <c r="A383" s="195"/>
      <c r="B383" s="195"/>
      <c r="C383" s="195"/>
      <c r="D383" s="195"/>
      <c r="E383" s="195"/>
      <c r="F383" s="195"/>
      <c r="G383" s="195"/>
      <c r="H383" s="195"/>
      <c r="I383" s="195"/>
      <c r="J383" s="195"/>
      <c r="K383" s="195"/>
      <c r="L383" s="195"/>
      <c r="M383" s="195"/>
      <c r="N383" s="195"/>
      <c r="O383" s="195"/>
      <c r="P383" s="195"/>
      <c r="Q383" s="195"/>
      <c r="R383" s="195"/>
      <c r="S383" s="195"/>
      <c r="T383" s="195"/>
      <c r="U383" s="195"/>
      <c r="V383" s="195"/>
      <c r="W383" s="195"/>
      <c r="X383" s="195"/>
      <c r="Y383" s="195"/>
      <c r="Z383" s="195"/>
      <c r="AA383" s="195"/>
      <c r="AB383" s="195"/>
      <c r="AC383" s="195"/>
      <c r="AD383" s="195"/>
      <c r="AE383" s="195"/>
      <c r="AF383" s="195"/>
      <c r="AG383" s="195"/>
      <c r="AH383" s="195"/>
      <c r="AI383" s="195"/>
      <c r="AJ383" s="195"/>
      <c r="AK383" s="195"/>
      <c r="AL383" s="195"/>
      <c r="AM383" s="195"/>
      <c r="AN383" s="195"/>
      <c r="AO383" s="195"/>
    </row>
    <row r="384" spans="1:41" x14ac:dyDescent="0.2">
      <c r="A384" s="195"/>
      <c r="B384" s="195"/>
      <c r="C384" s="195"/>
      <c r="D384" s="195"/>
      <c r="E384" s="195"/>
      <c r="F384" s="195"/>
      <c r="G384" s="195"/>
      <c r="H384" s="195"/>
      <c r="I384" s="195"/>
      <c r="J384" s="195"/>
      <c r="K384" s="195"/>
      <c r="L384" s="195"/>
      <c r="M384" s="195"/>
      <c r="N384" s="195"/>
      <c r="O384" s="195"/>
      <c r="P384" s="195"/>
      <c r="Q384" s="195"/>
      <c r="R384" s="195"/>
      <c r="S384" s="195"/>
      <c r="T384" s="195"/>
      <c r="U384" s="195"/>
      <c r="V384" s="195"/>
      <c r="W384" s="195"/>
      <c r="X384" s="195"/>
      <c r="Y384" s="195"/>
      <c r="Z384" s="195"/>
      <c r="AA384" s="195"/>
      <c r="AB384" s="195"/>
      <c r="AC384" s="195"/>
      <c r="AD384" s="195"/>
      <c r="AE384" s="195"/>
      <c r="AF384" s="195"/>
      <c r="AG384" s="195"/>
      <c r="AH384" s="195"/>
      <c r="AI384" s="195"/>
      <c r="AJ384" s="195"/>
      <c r="AK384" s="195"/>
      <c r="AL384" s="195"/>
      <c r="AM384" s="195"/>
      <c r="AN384" s="195"/>
      <c r="AO384" s="195"/>
    </row>
    <row r="385" spans="1:41" x14ac:dyDescent="0.2">
      <c r="A385" s="195"/>
      <c r="B385" s="195"/>
      <c r="C385" s="195"/>
      <c r="D385" s="195"/>
      <c r="E385" s="195"/>
      <c r="F385" s="195"/>
      <c r="G385" s="195"/>
      <c r="H385" s="195"/>
      <c r="I385" s="195"/>
      <c r="J385" s="195"/>
      <c r="K385" s="195"/>
      <c r="L385" s="195"/>
      <c r="M385" s="195"/>
      <c r="N385" s="195"/>
      <c r="O385" s="195"/>
      <c r="P385" s="195"/>
      <c r="Q385" s="195"/>
      <c r="R385" s="195"/>
      <c r="S385" s="195"/>
      <c r="T385" s="195"/>
      <c r="U385" s="195"/>
      <c r="V385" s="195"/>
      <c r="W385" s="195"/>
      <c r="X385" s="195"/>
      <c r="Y385" s="195"/>
      <c r="Z385" s="195"/>
      <c r="AA385" s="195"/>
      <c r="AB385" s="195"/>
      <c r="AC385" s="195"/>
      <c r="AD385" s="195"/>
      <c r="AE385" s="195"/>
      <c r="AF385" s="195"/>
      <c r="AG385" s="195"/>
      <c r="AH385" s="195"/>
      <c r="AI385" s="195"/>
      <c r="AJ385" s="195"/>
      <c r="AK385" s="195"/>
      <c r="AL385" s="195"/>
      <c r="AM385" s="195"/>
      <c r="AN385" s="195"/>
      <c r="AO385" s="195"/>
    </row>
    <row r="386" spans="1:41" x14ac:dyDescent="0.2">
      <c r="A386" s="195"/>
      <c r="B386" s="195"/>
      <c r="C386" s="195"/>
      <c r="D386" s="195"/>
      <c r="E386" s="195"/>
      <c r="F386" s="195"/>
      <c r="G386" s="195"/>
      <c r="H386" s="195"/>
      <c r="I386" s="195"/>
      <c r="J386" s="195"/>
      <c r="K386" s="195"/>
      <c r="L386" s="195"/>
      <c r="M386" s="195"/>
      <c r="N386" s="195"/>
      <c r="O386" s="195"/>
      <c r="P386" s="195"/>
      <c r="Q386" s="195"/>
      <c r="R386" s="195"/>
      <c r="S386" s="195"/>
      <c r="T386" s="195"/>
      <c r="U386" s="195"/>
      <c r="V386" s="195"/>
      <c r="W386" s="195"/>
      <c r="X386" s="195"/>
      <c r="Y386" s="195"/>
      <c r="Z386" s="195"/>
      <c r="AA386" s="195"/>
      <c r="AB386" s="195"/>
      <c r="AC386" s="195"/>
      <c r="AD386" s="195"/>
      <c r="AE386" s="195"/>
      <c r="AF386" s="195"/>
      <c r="AG386" s="195"/>
      <c r="AH386" s="195"/>
      <c r="AI386" s="195"/>
      <c r="AJ386" s="195"/>
      <c r="AK386" s="195"/>
      <c r="AL386" s="195"/>
      <c r="AM386" s="195"/>
      <c r="AN386" s="195"/>
      <c r="AO386" s="195"/>
    </row>
    <row r="387" spans="1:41" x14ac:dyDescent="0.2">
      <c r="A387" s="195"/>
      <c r="B387" s="195"/>
      <c r="C387" s="195"/>
      <c r="D387" s="195"/>
      <c r="E387" s="195"/>
      <c r="F387" s="195"/>
      <c r="G387" s="195"/>
      <c r="H387" s="195"/>
      <c r="I387" s="195"/>
      <c r="J387" s="195"/>
      <c r="K387" s="195"/>
      <c r="L387" s="195"/>
      <c r="M387" s="195"/>
      <c r="N387" s="195"/>
      <c r="O387" s="195"/>
      <c r="P387" s="195"/>
      <c r="Q387" s="195"/>
      <c r="R387" s="195"/>
      <c r="S387" s="195"/>
      <c r="T387" s="195"/>
      <c r="U387" s="195"/>
      <c r="V387" s="195"/>
      <c r="W387" s="195"/>
      <c r="X387" s="195"/>
      <c r="Y387" s="195"/>
      <c r="Z387" s="195"/>
      <c r="AA387" s="195"/>
      <c r="AB387" s="195"/>
      <c r="AC387" s="195"/>
      <c r="AD387" s="195"/>
      <c r="AE387" s="195"/>
      <c r="AF387" s="195"/>
      <c r="AG387" s="195"/>
      <c r="AH387" s="195"/>
      <c r="AI387" s="195"/>
      <c r="AJ387" s="195"/>
      <c r="AK387" s="195"/>
      <c r="AL387" s="195"/>
      <c r="AM387" s="195"/>
      <c r="AN387" s="195"/>
      <c r="AO387" s="195"/>
    </row>
    <row r="388" spans="1:41" x14ac:dyDescent="0.2">
      <c r="A388" s="195"/>
      <c r="B388" s="195"/>
      <c r="C388" s="195"/>
      <c r="D388" s="195"/>
      <c r="E388" s="195"/>
      <c r="F388" s="195"/>
      <c r="G388" s="195"/>
      <c r="H388" s="195"/>
      <c r="I388" s="195"/>
      <c r="J388" s="195"/>
      <c r="K388" s="195"/>
      <c r="L388" s="195"/>
      <c r="M388" s="195"/>
      <c r="N388" s="195"/>
      <c r="O388" s="195"/>
      <c r="P388" s="195"/>
      <c r="Q388" s="195"/>
      <c r="R388" s="195"/>
      <c r="S388" s="195"/>
      <c r="T388" s="195"/>
      <c r="U388" s="195"/>
      <c r="V388" s="195"/>
      <c r="W388" s="195"/>
      <c r="X388" s="195"/>
      <c r="Y388" s="195"/>
      <c r="Z388" s="195"/>
      <c r="AA388" s="195"/>
      <c r="AB388" s="195"/>
      <c r="AC388" s="195"/>
      <c r="AD388" s="195"/>
      <c r="AE388" s="195"/>
      <c r="AF388" s="195"/>
      <c r="AG388" s="195"/>
      <c r="AH388" s="195"/>
      <c r="AI388" s="195"/>
      <c r="AJ388" s="195"/>
      <c r="AK388" s="195"/>
      <c r="AL388" s="195"/>
      <c r="AM388" s="195"/>
      <c r="AN388" s="195"/>
      <c r="AO388" s="195"/>
    </row>
    <row r="389" spans="1:41" x14ac:dyDescent="0.2">
      <c r="A389" s="195"/>
      <c r="B389" s="195"/>
      <c r="C389" s="195"/>
      <c r="D389" s="195"/>
      <c r="E389" s="195"/>
      <c r="F389" s="195"/>
      <c r="G389" s="195"/>
      <c r="H389" s="195"/>
      <c r="I389" s="195"/>
      <c r="J389" s="195"/>
      <c r="K389" s="195"/>
      <c r="L389" s="195"/>
      <c r="M389" s="195"/>
      <c r="N389" s="195"/>
      <c r="O389" s="195"/>
      <c r="P389" s="195"/>
      <c r="Q389" s="195"/>
      <c r="R389" s="195"/>
      <c r="S389" s="195"/>
      <c r="T389" s="195"/>
      <c r="U389" s="195"/>
      <c r="V389" s="195"/>
      <c r="W389" s="195"/>
      <c r="X389" s="195"/>
      <c r="Y389" s="195"/>
      <c r="Z389" s="195"/>
      <c r="AA389" s="195"/>
      <c r="AB389" s="195"/>
      <c r="AC389" s="195"/>
      <c r="AD389" s="195"/>
      <c r="AE389" s="195"/>
      <c r="AF389" s="195"/>
      <c r="AG389" s="195"/>
      <c r="AH389" s="195"/>
      <c r="AI389" s="195"/>
      <c r="AJ389" s="195"/>
      <c r="AK389" s="195"/>
      <c r="AL389" s="195"/>
      <c r="AM389" s="195"/>
      <c r="AN389" s="195"/>
      <c r="AO389" s="195"/>
    </row>
    <row r="390" spans="1:41" x14ac:dyDescent="0.2">
      <c r="A390" s="195"/>
      <c r="B390" s="195"/>
      <c r="C390" s="195"/>
      <c r="D390" s="195"/>
      <c r="E390" s="195"/>
      <c r="F390" s="195"/>
      <c r="G390" s="195"/>
      <c r="H390" s="195"/>
      <c r="I390" s="195"/>
      <c r="J390" s="195"/>
      <c r="K390" s="195"/>
      <c r="L390" s="195"/>
      <c r="M390" s="195"/>
      <c r="N390" s="195"/>
      <c r="O390" s="195"/>
      <c r="P390" s="195"/>
      <c r="Q390" s="195"/>
      <c r="R390" s="195"/>
      <c r="S390" s="195"/>
      <c r="T390" s="195"/>
      <c r="U390" s="195"/>
      <c r="V390" s="195"/>
      <c r="W390" s="195"/>
      <c r="X390" s="195"/>
      <c r="Y390" s="195"/>
      <c r="Z390" s="195"/>
      <c r="AA390" s="195"/>
      <c r="AB390" s="195"/>
      <c r="AC390" s="195"/>
      <c r="AD390" s="195"/>
      <c r="AE390" s="195"/>
      <c r="AF390" s="195"/>
      <c r="AG390" s="195"/>
      <c r="AH390" s="195"/>
      <c r="AI390" s="195"/>
      <c r="AJ390" s="195"/>
      <c r="AK390" s="195"/>
      <c r="AL390" s="195"/>
      <c r="AM390" s="195"/>
      <c r="AN390" s="195"/>
      <c r="AO390" s="195"/>
    </row>
    <row r="391" spans="1:41" x14ac:dyDescent="0.2">
      <c r="A391" s="195"/>
      <c r="B391" s="195"/>
      <c r="C391" s="195"/>
      <c r="D391" s="195"/>
      <c r="E391" s="195"/>
      <c r="F391" s="195"/>
      <c r="G391" s="195"/>
      <c r="H391" s="195"/>
      <c r="I391" s="195"/>
      <c r="J391" s="195"/>
      <c r="K391" s="195"/>
      <c r="L391" s="195"/>
      <c r="M391" s="195"/>
      <c r="N391" s="195"/>
      <c r="O391" s="195"/>
      <c r="P391" s="195"/>
      <c r="Q391" s="195"/>
      <c r="R391" s="195"/>
      <c r="S391" s="195"/>
      <c r="T391" s="195"/>
      <c r="U391" s="195"/>
      <c r="V391" s="195"/>
      <c r="W391" s="195"/>
      <c r="X391" s="195"/>
      <c r="Y391" s="195"/>
      <c r="Z391" s="195"/>
      <c r="AA391" s="195"/>
      <c r="AB391" s="195"/>
      <c r="AC391" s="195"/>
      <c r="AD391" s="195"/>
      <c r="AE391" s="195"/>
      <c r="AF391" s="195"/>
      <c r="AG391" s="195"/>
      <c r="AH391" s="195"/>
      <c r="AI391" s="195"/>
      <c r="AJ391" s="195"/>
      <c r="AK391" s="195"/>
      <c r="AL391" s="195"/>
      <c r="AM391" s="195"/>
      <c r="AN391" s="195"/>
      <c r="AO391" s="195"/>
    </row>
    <row r="392" spans="1:41" x14ac:dyDescent="0.2">
      <c r="A392" s="195"/>
      <c r="B392" s="195"/>
      <c r="C392" s="195"/>
      <c r="D392" s="195"/>
      <c r="E392" s="195"/>
      <c r="F392" s="195"/>
      <c r="G392" s="195"/>
      <c r="H392" s="195"/>
      <c r="I392" s="195"/>
      <c r="J392" s="195"/>
      <c r="K392" s="195"/>
      <c r="L392" s="195"/>
      <c r="M392" s="195"/>
      <c r="N392" s="195"/>
      <c r="O392" s="195"/>
      <c r="P392" s="195"/>
      <c r="Q392" s="195"/>
      <c r="R392" s="195"/>
      <c r="S392" s="195"/>
      <c r="T392" s="195"/>
      <c r="U392" s="195"/>
      <c r="V392" s="195"/>
      <c r="W392" s="195"/>
      <c r="X392" s="195"/>
      <c r="Y392" s="195"/>
      <c r="Z392" s="195"/>
      <c r="AA392" s="195"/>
      <c r="AB392" s="195"/>
      <c r="AC392" s="195"/>
      <c r="AD392" s="195"/>
      <c r="AE392" s="195"/>
      <c r="AF392" s="195"/>
      <c r="AG392" s="195"/>
      <c r="AH392" s="195"/>
      <c r="AI392" s="195"/>
      <c r="AJ392" s="195"/>
      <c r="AK392" s="195"/>
      <c r="AL392" s="195"/>
      <c r="AM392" s="195"/>
      <c r="AN392" s="195"/>
      <c r="AO392" s="195"/>
    </row>
    <row r="393" spans="1:41" x14ac:dyDescent="0.2">
      <c r="A393" s="195"/>
      <c r="B393" s="195"/>
      <c r="C393" s="195"/>
      <c r="D393" s="195"/>
      <c r="E393" s="195"/>
      <c r="F393" s="195"/>
      <c r="G393" s="195"/>
      <c r="H393" s="195"/>
      <c r="I393" s="195"/>
      <c r="J393" s="195"/>
      <c r="K393" s="195"/>
      <c r="L393" s="195"/>
      <c r="M393" s="195"/>
      <c r="N393" s="195"/>
      <c r="O393" s="195"/>
      <c r="P393" s="195"/>
      <c r="Q393" s="195"/>
      <c r="R393" s="195"/>
      <c r="S393" s="195"/>
      <c r="T393" s="195"/>
      <c r="U393" s="195"/>
      <c r="V393" s="195"/>
      <c r="W393" s="195"/>
      <c r="X393" s="195"/>
      <c r="Y393" s="195"/>
      <c r="Z393" s="195"/>
      <c r="AA393" s="195"/>
      <c r="AB393" s="195"/>
      <c r="AC393" s="195"/>
      <c r="AD393" s="195"/>
      <c r="AE393" s="195"/>
      <c r="AF393" s="195"/>
      <c r="AG393" s="195"/>
      <c r="AH393" s="195"/>
      <c r="AI393" s="195"/>
      <c r="AJ393" s="195"/>
      <c r="AK393" s="195"/>
      <c r="AL393" s="195"/>
      <c r="AM393" s="195"/>
      <c r="AN393" s="195"/>
      <c r="AO393" s="195"/>
    </row>
    <row r="394" spans="1:41" x14ac:dyDescent="0.2">
      <c r="A394" s="195"/>
      <c r="B394" s="195"/>
      <c r="C394" s="195"/>
      <c r="D394" s="195"/>
      <c r="E394" s="195"/>
      <c r="F394" s="195"/>
      <c r="G394" s="195"/>
      <c r="H394" s="195"/>
      <c r="I394" s="195"/>
      <c r="J394" s="195"/>
      <c r="K394" s="195"/>
      <c r="L394" s="195"/>
      <c r="M394" s="195"/>
      <c r="N394" s="195"/>
      <c r="O394" s="195"/>
      <c r="P394" s="195"/>
      <c r="Q394" s="195"/>
      <c r="R394" s="195"/>
      <c r="S394" s="195"/>
      <c r="T394" s="195"/>
      <c r="U394" s="195"/>
      <c r="V394" s="195"/>
      <c r="W394" s="195"/>
      <c r="X394" s="195"/>
      <c r="Y394" s="195"/>
      <c r="Z394" s="195"/>
      <c r="AA394" s="195"/>
      <c r="AB394" s="195"/>
      <c r="AC394" s="195"/>
      <c r="AD394" s="195"/>
      <c r="AE394" s="195"/>
      <c r="AF394" s="195"/>
      <c r="AG394" s="195"/>
      <c r="AH394" s="195"/>
      <c r="AI394" s="195"/>
      <c r="AJ394" s="195"/>
      <c r="AK394" s="195"/>
      <c r="AL394" s="195"/>
      <c r="AM394" s="195"/>
      <c r="AN394" s="195"/>
      <c r="AO394" s="195"/>
    </row>
    <row r="395" spans="1:41" x14ac:dyDescent="0.2">
      <c r="A395" s="195"/>
      <c r="B395" s="195"/>
      <c r="C395" s="195"/>
      <c r="D395" s="195"/>
      <c r="E395" s="195"/>
      <c r="F395" s="195"/>
      <c r="G395" s="195"/>
      <c r="H395" s="195"/>
      <c r="I395" s="195"/>
      <c r="J395" s="195"/>
      <c r="K395" s="195"/>
      <c r="L395" s="195"/>
      <c r="M395" s="195"/>
      <c r="N395" s="195"/>
      <c r="O395" s="195"/>
      <c r="P395" s="195"/>
      <c r="Q395" s="195"/>
      <c r="R395" s="195"/>
      <c r="S395" s="195"/>
      <c r="T395" s="195"/>
      <c r="U395" s="195"/>
      <c r="V395" s="195"/>
      <c r="W395" s="195"/>
      <c r="X395" s="195"/>
      <c r="Y395" s="195"/>
      <c r="Z395" s="195"/>
      <c r="AA395" s="195"/>
      <c r="AB395" s="195"/>
      <c r="AC395" s="195"/>
      <c r="AD395" s="195"/>
      <c r="AE395" s="195"/>
      <c r="AF395" s="195"/>
      <c r="AG395" s="195"/>
      <c r="AH395" s="195"/>
      <c r="AI395" s="195"/>
      <c r="AJ395" s="195"/>
      <c r="AK395" s="195"/>
      <c r="AL395" s="195"/>
      <c r="AM395" s="195"/>
      <c r="AN395" s="195"/>
      <c r="AO395" s="195"/>
    </row>
    <row r="396" spans="1:41" x14ac:dyDescent="0.2">
      <c r="A396" s="195"/>
      <c r="B396" s="195"/>
      <c r="C396" s="195"/>
      <c r="D396" s="195"/>
      <c r="E396" s="195"/>
      <c r="F396" s="195"/>
      <c r="G396" s="195"/>
      <c r="H396" s="195"/>
      <c r="I396" s="195"/>
      <c r="J396" s="195"/>
      <c r="K396" s="195"/>
      <c r="L396" s="195"/>
      <c r="M396" s="195"/>
      <c r="N396" s="195"/>
      <c r="O396" s="195"/>
      <c r="P396" s="195"/>
      <c r="Q396" s="195"/>
      <c r="R396" s="195"/>
      <c r="S396" s="195"/>
      <c r="T396" s="195"/>
      <c r="U396" s="195"/>
      <c r="V396" s="195"/>
      <c r="W396" s="195"/>
      <c r="X396" s="195"/>
      <c r="Y396" s="195"/>
      <c r="Z396" s="195"/>
      <c r="AA396" s="195"/>
      <c r="AB396" s="195"/>
      <c r="AC396" s="195"/>
      <c r="AD396" s="195"/>
      <c r="AE396" s="195"/>
      <c r="AF396" s="195"/>
      <c r="AG396" s="195"/>
      <c r="AH396" s="195"/>
      <c r="AI396" s="195"/>
      <c r="AJ396" s="195"/>
      <c r="AK396" s="195"/>
      <c r="AL396" s="195"/>
      <c r="AM396" s="195"/>
      <c r="AN396" s="195"/>
      <c r="AO396" s="195"/>
    </row>
    <row r="397" spans="1:41" x14ac:dyDescent="0.2">
      <c r="A397" s="195"/>
      <c r="B397" s="195"/>
      <c r="C397" s="195"/>
      <c r="D397" s="195"/>
      <c r="E397" s="195"/>
      <c r="F397" s="195"/>
      <c r="G397" s="195"/>
      <c r="H397" s="195"/>
      <c r="I397" s="195"/>
      <c r="J397" s="195"/>
      <c r="K397" s="195"/>
      <c r="L397" s="195"/>
      <c r="M397" s="195"/>
      <c r="N397" s="195"/>
      <c r="O397" s="195"/>
      <c r="P397" s="195"/>
      <c r="Q397" s="195"/>
      <c r="R397" s="195"/>
      <c r="S397" s="195"/>
      <c r="T397" s="195"/>
      <c r="U397" s="195"/>
      <c r="V397" s="195"/>
      <c r="W397" s="195"/>
      <c r="X397" s="195"/>
      <c r="Y397" s="195"/>
      <c r="Z397" s="195"/>
      <c r="AA397" s="195"/>
      <c r="AB397" s="195"/>
      <c r="AC397" s="195"/>
      <c r="AD397" s="195"/>
      <c r="AE397" s="195"/>
      <c r="AF397" s="195"/>
      <c r="AG397" s="195"/>
      <c r="AH397" s="195"/>
      <c r="AI397" s="195"/>
      <c r="AJ397" s="195"/>
      <c r="AK397" s="195"/>
      <c r="AL397" s="195"/>
      <c r="AM397" s="195"/>
      <c r="AN397" s="195"/>
      <c r="AO397" s="195"/>
    </row>
    <row r="398" spans="1:41" x14ac:dyDescent="0.2">
      <c r="A398" s="195"/>
      <c r="B398" s="195"/>
      <c r="C398" s="195"/>
      <c r="D398" s="195"/>
      <c r="E398" s="195"/>
      <c r="F398" s="195"/>
      <c r="G398" s="195"/>
      <c r="H398" s="195"/>
      <c r="I398" s="195"/>
      <c r="J398" s="195"/>
      <c r="K398" s="195"/>
      <c r="L398" s="195"/>
      <c r="M398" s="195"/>
      <c r="N398" s="195"/>
      <c r="O398" s="195"/>
      <c r="P398" s="195"/>
      <c r="Q398" s="195"/>
      <c r="R398" s="195"/>
      <c r="S398" s="195"/>
      <c r="T398" s="195"/>
      <c r="U398" s="195"/>
      <c r="V398" s="195"/>
      <c r="W398" s="195"/>
      <c r="X398" s="195"/>
      <c r="Y398" s="195"/>
      <c r="Z398" s="195"/>
      <c r="AA398" s="195"/>
      <c r="AB398" s="195"/>
      <c r="AC398" s="195"/>
      <c r="AD398" s="195"/>
      <c r="AE398" s="195"/>
      <c r="AF398" s="195"/>
      <c r="AG398" s="195"/>
      <c r="AH398" s="195"/>
      <c r="AI398" s="195"/>
      <c r="AJ398" s="195"/>
      <c r="AK398" s="195"/>
      <c r="AL398" s="195"/>
      <c r="AM398" s="195"/>
      <c r="AN398" s="195"/>
      <c r="AO398" s="195"/>
    </row>
    <row r="399" spans="1:41" x14ac:dyDescent="0.2">
      <c r="A399" s="195"/>
      <c r="B399" s="195"/>
      <c r="C399" s="195"/>
      <c r="D399" s="195"/>
      <c r="E399" s="195"/>
      <c r="F399" s="195"/>
      <c r="G399" s="195"/>
      <c r="H399" s="195"/>
      <c r="I399" s="195"/>
      <c r="J399" s="195"/>
      <c r="K399" s="195"/>
      <c r="L399" s="195"/>
      <c r="M399" s="195"/>
      <c r="N399" s="195"/>
      <c r="O399" s="195"/>
      <c r="P399" s="195"/>
      <c r="Q399" s="195"/>
      <c r="R399" s="195"/>
      <c r="S399" s="195"/>
      <c r="T399" s="195"/>
      <c r="U399" s="195"/>
      <c r="V399" s="195"/>
      <c r="W399" s="195"/>
      <c r="X399" s="195"/>
      <c r="Y399" s="195"/>
      <c r="Z399" s="195"/>
      <c r="AA399" s="195"/>
      <c r="AB399" s="195"/>
      <c r="AC399" s="195"/>
      <c r="AD399" s="195"/>
      <c r="AE399" s="195"/>
      <c r="AF399" s="195"/>
      <c r="AG399" s="195"/>
      <c r="AH399" s="195"/>
      <c r="AI399" s="195"/>
      <c r="AJ399" s="195"/>
      <c r="AK399" s="195"/>
      <c r="AL399" s="195"/>
      <c r="AM399" s="195"/>
      <c r="AN399" s="195"/>
      <c r="AO399" s="195"/>
    </row>
    <row r="400" spans="1:41" x14ac:dyDescent="0.2">
      <c r="A400" s="195"/>
      <c r="B400" s="195"/>
      <c r="C400" s="195"/>
      <c r="D400" s="195"/>
      <c r="E400" s="195"/>
      <c r="F400" s="195"/>
      <c r="G400" s="195"/>
      <c r="H400" s="195"/>
      <c r="I400" s="195"/>
      <c r="J400" s="195"/>
      <c r="K400" s="195"/>
      <c r="L400" s="195"/>
      <c r="M400" s="195"/>
      <c r="N400" s="195"/>
      <c r="O400" s="195"/>
      <c r="P400" s="195"/>
      <c r="Q400" s="195"/>
      <c r="R400" s="195"/>
      <c r="S400" s="195"/>
      <c r="T400" s="195"/>
      <c r="U400" s="195"/>
      <c r="V400" s="195"/>
      <c r="W400" s="195"/>
      <c r="X400" s="195"/>
      <c r="Y400" s="195"/>
      <c r="Z400" s="195"/>
      <c r="AA400" s="195"/>
      <c r="AB400" s="195"/>
      <c r="AC400" s="195"/>
      <c r="AD400" s="195"/>
      <c r="AE400" s="195"/>
      <c r="AF400" s="195"/>
      <c r="AG400" s="195"/>
      <c r="AH400" s="195"/>
      <c r="AI400" s="195"/>
      <c r="AJ400" s="195"/>
      <c r="AK400" s="195"/>
      <c r="AL400" s="195"/>
      <c r="AM400" s="195"/>
      <c r="AN400" s="195"/>
      <c r="AO400" s="195"/>
    </row>
    <row r="401" spans="1:41" x14ac:dyDescent="0.2">
      <c r="A401" s="195"/>
      <c r="B401" s="195"/>
      <c r="C401" s="195"/>
      <c r="D401" s="195"/>
      <c r="E401" s="195"/>
      <c r="F401" s="195"/>
      <c r="G401" s="195"/>
      <c r="H401" s="195"/>
      <c r="I401" s="195"/>
      <c r="J401" s="195"/>
      <c r="K401" s="195"/>
      <c r="L401" s="195"/>
      <c r="M401" s="195"/>
      <c r="N401" s="195"/>
      <c r="O401" s="195"/>
      <c r="P401" s="195"/>
      <c r="Q401" s="195"/>
      <c r="R401" s="195"/>
      <c r="S401" s="195"/>
      <c r="T401" s="195"/>
      <c r="U401" s="195"/>
      <c r="V401" s="195"/>
      <c r="W401" s="195"/>
      <c r="X401" s="195"/>
      <c r="Y401" s="195"/>
      <c r="Z401" s="195"/>
      <c r="AA401" s="195"/>
      <c r="AB401" s="195"/>
      <c r="AC401" s="195"/>
      <c r="AD401" s="195"/>
      <c r="AE401" s="195"/>
      <c r="AF401" s="195"/>
      <c r="AG401" s="195"/>
      <c r="AH401" s="195"/>
      <c r="AI401" s="195"/>
      <c r="AJ401" s="195"/>
      <c r="AK401" s="195"/>
      <c r="AL401" s="195"/>
      <c r="AM401" s="195"/>
      <c r="AN401" s="195"/>
      <c r="AO401" s="195"/>
    </row>
    <row r="402" spans="1:41" x14ac:dyDescent="0.2">
      <c r="A402" s="195"/>
      <c r="B402" s="195"/>
      <c r="C402" s="195"/>
      <c r="D402" s="195"/>
      <c r="E402" s="195"/>
      <c r="F402" s="195"/>
      <c r="G402" s="195"/>
      <c r="H402" s="195"/>
      <c r="I402" s="195"/>
      <c r="J402" s="195"/>
      <c r="K402" s="195"/>
      <c r="L402" s="195"/>
      <c r="M402" s="195"/>
      <c r="N402" s="195"/>
      <c r="O402" s="195"/>
      <c r="P402" s="195"/>
      <c r="Q402" s="195"/>
      <c r="R402" s="195"/>
      <c r="S402" s="195"/>
      <c r="T402" s="195"/>
      <c r="U402" s="195"/>
      <c r="V402" s="195"/>
      <c r="W402" s="195"/>
      <c r="X402" s="195"/>
      <c r="Y402" s="195"/>
      <c r="Z402" s="195"/>
      <c r="AA402" s="195"/>
      <c r="AB402" s="195"/>
      <c r="AC402" s="195"/>
      <c r="AD402" s="195"/>
      <c r="AE402" s="195"/>
      <c r="AF402" s="195"/>
      <c r="AG402" s="195"/>
      <c r="AH402" s="195"/>
      <c r="AI402" s="195"/>
      <c r="AJ402" s="195"/>
      <c r="AK402" s="195"/>
      <c r="AL402" s="195"/>
      <c r="AM402" s="195"/>
      <c r="AN402" s="195"/>
      <c r="AO402" s="195"/>
    </row>
    <row r="403" spans="1:41" x14ac:dyDescent="0.2">
      <c r="A403" s="195"/>
      <c r="B403" s="195"/>
      <c r="C403" s="195"/>
      <c r="D403" s="195"/>
      <c r="E403" s="195"/>
      <c r="F403" s="195"/>
      <c r="G403" s="195"/>
      <c r="H403" s="195"/>
      <c r="I403" s="195"/>
      <c r="J403" s="195"/>
      <c r="K403" s="195"/>
      <c r="L403" s="195"/>
      <c r="M403" s="195"/>
      <c r="N403" s="195"/>
      <c r="O403" s="195"/>
      <c r="P403" s="195"/>
      <c r="Q403" s="195"/>
      <c r="R403" s="195"/>
      <c r="S403" s="195"/>
      <c r="T403" s="195"/>
      <c r="U403" s="195"/>
      <c r="V403" s="195"/>
      <c r="W403" s="195"/>
      <c r="X403" s="195"/>
      <c r="Y403" s="195"/>
      <c r="Z403" s="195"/>
      <c r="AA403" s="195"/>
      <c r="AB403" s="195"/>
      <c r="AC403" s="195"/>
      <c r="AD403" s="195"/>
      <c r="AE403" s="195"/>
      <c r="AF403" s="195"/>
      <c r="AG403" s="195"/>
      <c r="AH403" s="195"/>
      <c r="AI403" s="195"/>
      <c r="AJ403" s="195"/>
      <c r="AK403" s="195"/>
      <c r="AL403" s="195"/>
      <c r="AM403" s="195"/>
      <c r="AN403" s="195"/>
      <c r="AO403" s="195"/>
    </row>
    <row r="404" spans="1:41" x14ac:dyDescent="0.2">
      <c r="A404" s="195"/>
      <c r="B404" s="195"/>
      <c r="C404" s="195"/>
      <c r="D404" s="195"/>
      <c r="E404" s="195"/>
      <c r="F404" s="195"/>
      <c r="G404" s="195"/>
      <c r="H404" s="195"/>
      <c r="I404" s="195"/>
      <c r="J404" s="195"/>
      <c r="K404" s="195"/>
      <c r="L404" s="195"/>
      <c r="M404" s="195"/>
      <c r="N404" s="195"/>
      <c r="O404" s="195"/>
      <c r="P404" s="195"/>
      <c r="Q404" s="195"/>
      <c r="R404" s="195"/>
      <c r="S404" s="195"/>
      <c r="T404" s="195"/>
      <c r="U404" s="195"/>
      <c r="V404" s="195"/>
      <c r="W404" s="195"/>
      <c r="X404" s="195"/>
      <c r="Y404" s="195"/>
      <c r="Z404" s="195"/>
      <c r="AA404" s="195"/>
      <c r="AB404" s="195"/>
      <c r="AC404" s="195"/>
      <c r="AD404" s="195"/>
      <c r="AE404" s="195"/>
      <c r="AF404" s="195"/>
      <c r="AG404" s="195"/>
      <c r="AH404" s="195"/>
      <c r="AI404" s="195"/>
      <c r="AJ404" s="195"/>
      <c r="AK404" s="195"/>
      <c r="AL404" s="195"/>
      <c r="AM404" s="195"/>
      <c r="AN404" s="195"/>
      <c r="AO404" s="195"/>
    </row>
    <row r="405" spans="1:41" x14ac:dyDescent="0.2">
      <c r="A405" s="195"/>
      <c r="B405" s="195"/>
      <c r="C405" s="195"/>
      <c r="D405" s="195"/>
      <c r="E405" s="195"/>
      <c r="F405" s="195"/>
      <c r="G405" s="195"/>
      <c r="H405" s="195"/>
      <c r="I405" s="195"/>
      <c r="J405" s="195"/>
      <c r="K405" s="195"/>
      <c r="L405" s="195"/>
      <c r="M405" s="195"/>
      <c r="N405" s="195"/>
      <c r="O405" s="195"/>
      <c r="P405" s="195"/>
      <c r="Q405" s="195"/>
      <c r="R405" s="195"/>
      <c r="S405" s="195"/>
      <c r="T405" s="195"/>
      <c r="U405" s="195"/>
      <c r="V405" s="195"/>
      <c r="W405" s="195"/>
      <c r="X405" s="195"/>
      <c r="Y405" s="195"/>
      <c r="Z405" s="195"/>
      <c r="AA405" s="195"/>
      <c r="AB405" s="195"/>
      <c r="AC405" s="195"/>
      <c r="AD405" s="195"/>
      <c r="AE405" s="195"/>
      <c r="AF405" s="195"/>
      <c r="AG405" s="195"/>
      <c r="AH405" s="195"/>
      <c r="AI405" s="195"/>
      <c r="AJ405" s="195"/>
      <c r="AK405" s="195"/>
      <c r="AL405" s="195"/>
      <c r="AM405" s="195"/>
      <c r="AN405" s="195"/>
      <c r="AO405" s="195"/>
    </row>
    <row r="406" spans="1:41" x14ac:dyDescent="0.2">
      <c r="A406" s="195"/>
      <c r="B406" s="195"/>
      <c r="C406" s="195"/>
      <c r="D406" s="195"/>
      <c r="E406" s="195"/>
      <c r="F406" s="195"/>
      <c r="G406" s="195"/>
      <c r="H406" s="195"/>
      <c r="I406" s="195"/>
      <c r="J406" s="195"/>
      <c r="K406" s="195"/>
      <c r="L406" s="195"/>
      <c r="M406" s="195"/>
      <c r="N406" s="195"/>
      <c r="O406" s="195"/>
      <c r="P406" s="195"/>
      <c r="Q406" s="195"/>
      <c r="R406" s="195"/>
      <c r="S406" s="195"/>
      <c r="T406" s="195"/>
      <c r="U406" s="195"/>
      <c r="V406" s="195"/>
      <c r="W406" s="195"/>
      <c r="X406" s="195"/>
      <c r="Y406" s="195"/>
      <c r="Z406" s="195"/>
      <c r="AA406" s="195"/>
      <c r="AB406" s="195"/>
      <c r="AC406" s="195"/>
      <c r="AD406" s="195"/>
      <c r="AE406" s="195"/>
      <c r="AF406" s="195"/>
      <c r="AG406" s="195"/>
      <c r="AH406" s="195"/>
      <c r="AI406" s="195"/>
      <c r="AJ406" s="195"/>
      <c r="AK406" s="195"/>
      <c r="AL406" s="195"/>
      <c r="AM406" s="195"/>
      <c r="AN406" s="195"/>
      <c r="AO406" s="195"/>
    </row>
    <row r="407" spans="1:41" x14ac:dyDescent="0.2">
      <c r="A407" s="195"/>
      <c r="B407" s="195"/>
      <c r="C407" s="195"/>
      <c r="D407" s="195"/>
      <c r="E407" s="195"/>
      <c r="F407" s="195"/>
      <c r="G407" s="195"/>
      <c r="H407" s="195"/>
      <c r="I407" s="195"/>
      <c r="J407" s="195"/>
      <c r="K407" s="195"/>
      <c r="L407" s="195"/>
      <c r="M407" s="195"/>
      <c r="N407" s="195"/>
      <c r="O407" s="195"/>
      <c r="P407" s="195"/>
      <c r="Q407" s="195"/>
      <c r="R407" s="195"/>
      <c r="S407" s="195"/>
      <c r="T407" s="195"/>
      <c r="U407" s="195"/>
      <c r="V407" s="195"/>
      <c r="W407" s="195"/>
      <c r="X407" s="195"/>
      <c r="Y407" s="195"/>
      <c r="Z407" s="195"/>
      <c r="AA407" s="195"/>
      <c r="AB407" s="195"/>
      <c r="AC407" s="195"/>
      <c r="AD407" s="195"/>
      <c r="AE407" s="195"/>
      <c r="AF407" s="195"/>
      <c r="AG407" s="195"/>
      <c r="AH407" s="195"/>
      <c r="AI407" s="195"/>
      <c r="AJ407" s="195"/>
      <c r="AK407" s="195"/>
      <c r="AL407" s="195"/>
      <c r="AM407" s="195"/>
      <c r="AN407" s="195"/>
      <c r="AO407" s="195"/>
    </row>
    <row r="408" spans="1:41" x14ac:dyDescent="0.2">
      <c r="A408" s="195"/>
      <c r="B408" s="195"/>
      <c r="C408" s="195"/>
      <c r="D408" s="195"/>
      <c r="E408" s="195"/>
      <c r="F408" s="195"/>
      <c r="G408" s="195"/>
      <c r="H408" s="195"/>
      <c r="I408" s="195"/>
      <c r="J408" s="195"/>
      <c r="K408" s="195"/>
      <c r="L408" s="195"/>
      <c r="M408" s="195"/>
      <c r="N408" s="195"/>
      <c r="O408" s="195"/>
      <c r="P408" s="195"/>
      <c r="Q408" s="195"/>
      <c r="R408" s="195"/>
      <c r="S408" s="195"/>
      <c r="T408" s="195"/>
      <c r="U408" s="195"/>
      <c r="V408" s="195"/>
      <c r="W408" s="195"/>
      <c r="X408" s="195"/>
      <c r="Y408" s="195"/>
      <c r="Z408" s="195"/>
      <c r="AA408" s="195"/>
      <c r="AB408" s="195"/>
      <c r="AC408" s="195"/>
      <c r="AD408" s="195"/>
      <c r="AE408" s="195"/>
      <c r="AF408" s="195"/>
      <c r="AG408" s="195"/>
      <c r="AH408" s="195"/>
      <c r="AI408" s="195"/>
      <c r="AJ408" s="195"/>
      <c r="AK408" s="195"/>
      <c r="AL408" s="195"/>
      <c r="AM408" s="195"/>
      <c r="AN408" s="195"/>
      <c r="AO408" s="195"/>
    </row>
    <row r="409" spans="1:41" x14ac:dyDescent="0.2">
      <c r="A409" s="195"/>
      <c r="B409" s="195"/>
      <c r="C409" s="195"/>
      <c r="D409" s="195"/>
      <c r="E409" s="195"/>
      <c r="F409" s="195"/>
      <c r="G409" s="195"/>
      <c r="H409" s="195"/>
      <c r="I409" s="195"/>
      <c r="J409" s="195"/>
      <c r="K409" s="195"/>
      <c r="L409" s="195"/>
      <c r="M409" s="195"/>
      <c r="N409" s="195"/>
      <c r="O409" s="195"/>
      <c r="P409" s="195"/>
      <c r="Q409" s="195"/>
      <c r="R409" s="195"/>
      <c r="S409" s="195"/>
      <c r="T409" s="195"/>
      <c r="U409" s="195"/>
      <c r="V409" s="195"/>
      <c r="W409" s="195"/>
      <c r="X409" s="195"/>
      <c r="Y409" s="195"/>
      <c r="Z409" s="195"/>
      <c r="AA409" s="195"/>
      <c r="AB409" s="195"/>
      <c r="AC409" s="195"/>
      <c r="AD409" s="195"/>
      <c r="AE409" s="195"/>
      <c r="AF409" s="195"/>
      <c r="AG409" s="195"/>
      <c r="AH409" s="195"/>
      <c r="AI409" s="195"/>
      <c r="AJ409" s="195"/>
      <c r="AK409" s="195"/>
      <c r="AL409" s="195"/>
      <c r="AM409" s="195"/>
      <c r="AN409" s="195"/>
      <c r="AO409" s="195"/>
    </row>
    <row r="410" spans="1:41" x14ac:dyDescent="0.2">
      <c r="A410" s="195"/>
      <c r="B410" s="195"/>
      <c r="C410" s="195"/>
      <c r="D410" s="195"/>
      <c r="E410" s="195"/>
      <c r="F410" s="195"/>
      <c r="G410" s="195"/>
      <c r="H410" s="195"/>
      <c r="I410" s="195"/>
      <c r="J410" s="195"/>
      <c r="K410" s="195"/>
      <c r="L410" s="195"/>
      <c r="M410" s="195"/>
      <c r="N410" s="195"/>
      <c r="O410" s="195"/>
      <c r="P410" s="195"/>
      <c r="Q410" s="195"/>
      <c r="R410" s="195"/>
      <c r="S410" s="195"/>
      <c r="T410" s="195"/>
      <c r="U410" s="195"/>
      <c r="V410" s="195"/>
      <c r="W410" s="195"/>
      <c r="X410" s="195"/>
      <c r="Y410" s="195"/>
      <c r="Z410" s="195"/>
      <c r="AA410" s="195"/>
      <c r="AB410" s="195"/>
      <c r="AC410" s="195"/>
      <c r="AD410" s="195"/>
      <c r="AE410" s="195"/>
      <c r="AF410" s="195"/>
      <c r="AG410" s="195"/>
      <c r="AH410" s="195"/>
      <c r="AI410" s="195"/>
      <c r="AJ410" s="195"/>
      <c r="AK410" s="195"/>
      <c r="AL410" s="195"/>
      <c r="AM410" s="195"/>
      <c r="AN410" s="195"/>
      <c r="AO410" s="195"/>
    </row>
    <row r="411" spans="1:41" x14ac:dyDescent="0.2">
      <c r="A411" s="195"/>
      <c r="B411" s="195"/>
      <c r="C411" s="195"/>
      <c r="D411" s="195"/>
      <c r="E411" s="195"/>
      <c r="F411" s="195"/>
      <c r="G411" s="195"/>
      <c r="H411" s="195"/>
      <c r="I411" s="195"/>
      <c r="J411" s="195"/>
      <c r="K411" s="195"/>
      <c r="L411" s="195"/>
      <c r="M411" s="195"/>
      <c r="N411" s="195"/>
      <c r="O411" s="195"/>
      <c r="P411" s="195"/>
      <c r="Q411" s="195"/>
      <c r="R411" s="195"/>
      <c r="S411" s="195"/>
      <c r="T411" s="195"/>
      <c r="U411" s="195"/>
      <c r="V411" s="195"/>
      <c r="W411" s="195"/>
      <c r="X411" s="195"/>
    </row>
    <row r="412" spans="1:41" x14ac:dyDescent="0.2">
      <c r="A412" s="195"/>
      <c r="B412" s="195"/>
      <c r="C412" s="195"/>
      <c r="D412" s="195"/>
      <c r="E412" s="195"/>
      <c r="F412" s="195"/>
      <c r="G412" s="195"/>
      <c r="H412" s="195"/>
      <c r="I412" s="195"/>
      <c r="J412" s="195"/>
      <c r="K412" s="195"/>
      <c r="L412" s="195"/>
      <c r="M412" s="195"/>
      <c r="N412" s="195"/>
      <c r="O412" s="195"/>
      <c r="P412" s="195"/>
      <c r="Q412" s="195"/>
      <c r="R412" s="195"/>
      <c r="S412" s="195"/>
      <c r="T412" s="195"/>
      <c r="U412" s="195"/>
      <c r="V412" s="195"/>
      <c r="W412" s="195"/>
      <c r="X412" s="195"/>
    </row>
    <row r="413" spans="1:41" x14ac:dyDescent="0.2">
      <c r="A413" s="195"/>
      <c r="B413" s="195"/>
      <c r="C413" s="195"/>
      <c r="D413" s="195"/>
      <c r="E413" s="195"/>
      <c r="F413" s="195"/>
      <c r="G413" s="195"/>
      <c r="H413" s="195"/>
      <c r="I413" s="195"/>
      <c r="J413" s="195"/>
      <c r="K413" s="195"/>
      <c r="L413" s="195"/>
      <c r="M413" s="195"/>
      <c r="N413" s="195"/>
      <c r="O413" s="195"/>
      <c r="P413" s="195"/>
      <c r="Q413" s="195"/>
      <c r="R413" s="195"/>
      <c r="S413" s="195"/>
      <c r="T413" s="195"/>
      <c r="U413" s="195"/>
      <c r="V413" s="195"/>
      <c r="W413" s="195"/>
      <c r="X413" s="195"/>
    </row>
    <row r="414" spans="1:41" x14ac:dyDescent="0.2">
      <c r="A414" s="195"/>
      <c r="B414" s="195"/>
      <c r="C414" s="195"/>
      <c r="D414" s="195"/>
      <c r="E414" s="195"/>
      <c r="F414" s="195"/>
      <c r="G414" s="195"/>
      <c r="H414" s="195"/>
      <c r="I414" s="195"/>
      <c r="J414" s="195"/>
      <c r="K414" s="195"/>
      <c r="L414" s="195"/>
      <c r="M414" s="195"/>
      <c r="N414" s="195"/>
      <c r="O414" s="195"/>
      <c r="P414" s="195"/>
      <c r="Q414" s="195"/>
      <c r="R414" s="195"/>
      <c r="S414" s="195"/>
      <c r="T414" s="195"/>
      <c r="U414" s="195"/>
      <c r="V414" s="195"/>
      <c r="W414" s="195"/>
      <c r="X414" s="195"/>
    </row>
    <row r="415" spans="1:41" x14ac:dyDescent="0.2">
      <c r="A415" s="195"/>
      <c r="B415" s="195"/>
      <c r="C415" s="195"/>
      <c r="D415" s="195"/>
      <c r="E415" s="195"/>
      <c r="F415" s="195"/>
      <c r="G415" s="195"/>
      <c r="H415" s="195"/>
      <c r="I415" s="195"/>
      <c r="J415" s="195"/>
      <c r="K415" s="195"/>
      <c r="L415" s="195"/>
      <c r="M415" s="195"/>
      <c r="N415" s="195"/>
      <c r="O415" s="195"/>
      <c r="P415" s="195"/>
      <c r="Q415" s="195"/>
      <c r="R415" s="195"/>
      <c r="S415" s="195"/>
      <c r="T415" s="195"/>
      <c r="U415" s="195"/>
      <c r="V415" s="195"/>
      <c r="W415" s="195"/>
      <c r="X415" s="195"/>
    </row>
    <row r="416" spans="1:41" x14ac:dyDescent="0.2">
      <c r="A416" s="195"/>
      <c r="B416" s="195"/>
      <c r="C416" s="195"/>
      <c r="D416" s="195"/>
      <c r="E416" s="195"/>
      <c r="F416" s="195"/>
      <c r="G416" s="195"/>
      <c r="H416" s="195"/>
      <c r="I416" s="195"/>
      <c r="J416" s="195"/>
      <c r="K416" s="195"/>
      <c r="L416" s="195"/>
      <c r="M416" s="195"/>
      <c r="N416" s="195"/>
      <c r="O416" s="195"/>
      <c r="P416" s="195"/>
      <c r="Q416" s="195"/>
      <c r="R416" s="195"/>
      <c r="S416" s="195"/>
      <c r="T416" s="195"/>
      <c r="U416" s="195"/>
      <c r="V416" s="195"/>
      <c r="W416" s="195"/>
      <c r="X416" s="195"/>
    </row>
    <row r="417" spans="1:24" x14ac:dyDescent="0.2">
      <c r="A417" s="195"/>
      <c r="B417" s="195"/>
      <c r="C417" s="195"/>
      <c r="D417" s="195"/>
      <c r="E417" s="195"/>
      <c r="F417" s="195"/>
      <c r="G417" s="195"/>
      <c r="H417" s="195"/>
      <c r="I417" s="195"/>
      <c r="J417" s="195"/>
      <c r="K417" s="195"/>
      <c r="L417" s="195"/>
      <c r="M417" s="195"/>
      <c r="N417" s="195"/>
      <c r="O417" s="195"/>
      <c r="P417" s="195"/>
      <c r="Q417" s="195"/>
      <c r="R417" s="195"/>
      <c r="S417" s="195"/>
      <c r="T417" s="195"/>
      <c r="U417" s="195"/>
      <c r="V417" s="195"/>
      <c r="W417" s="195"/>
      <c r="X417" s="195"/>
    </row>
    <row r="418" spans="1:24" x14ac:dyDescent="0.2">
      <c r="A418" s="195"/>
      <c r="B418" s="195"/>
      <c r="C418" s="195"/>
      <c r="D418" s="195"/>
      <c r="E418" s="195"/>
      <c r="F418" s="195"/>
      <c r="G418" s="195"/>
      <c r="H418" s="195"/>
      <c r="I418" s="195"/>
      <c r="J418" s="195"/>
      <c r="K418" s="195"/>
      <c r="L418" s="195"/>
      <c r="M418" s="195"/>
      <c r="N418" s="195"/>
      <c r="O418" s="195"/>
      <c r="P418" s="195"/>
      <c r="Q418" s="195"/>
      <c r="R418" s="195"/>
      <c r="S418" s="195"/>
      <c r="T418" s="195"/>
      <c r="U418" s="195"/>
      <c r="V418" s="195"/>
      <c r="W418" s="195"/>
      <c r="X418" s="195"/>
    </row>
    <row r="419" spans="1:24" x14ac:dyDescent="0.2">
      <c r="A419" s="195"/>
      <c r="B419" s="195"/>
      <c r="C419" s="195"/>
      <c r="D419" s="195"/>
      <c r="E419" s="195"/>
      <c r="F419" s="195"/>
      <c r="G419" s="195"/>
      <c r="H419" s="195"/>
      <c r="I419" s="195"/>
      <c r="J419" s="195"/>
      <c r="K419" s="195"/>
      <c r="L419" s="195"/>
      <c r="M419" s="195"/>
      <c r="N419" s="195"/>
      <c r="O419" s="195"/>
      <c r="P419" s="195"/>
      <c r="Q419" s="195"/>
      <c r="R419" s="195"/>
      <c r="S419" s="195"/>
      <c r="T419" s="195"/>
      <c r="U419" s="195"/>
      <c r="V419" s="195"/>
      <c r="W419" s="195"/>
      <c r="X419" s="195"/>
    </row>
    <row r="420" spans="1:24" x14ac:dyDescent="0.2">
      <c r="A420" s="195"/>
      <c r="B420" s="195"/>
      <c r="C420" s="195"/>
      <c r="D420" s="195"/>
      <c r="E420" s="195"/>
      <c r="F420" s="195"/>
      <c r="G420" s="195"/>
      <c r="H420" s="195"/>
      <c r="I420" s="195"/>
      <c r="J420" s="195"/>
      <c r="K420" s="195"/>
      <c r="L420" s="195"/>
      <c r="M420" s="195"/>
      <c r="N420" s="195"/>
      <c r="O420" s="195"/>
      <c r="P420" s="195"/>
      <c r="Q420" s="195"/>
      <c r="R420" s="195"/>
      <c r="S420" s="195"/>
      <c r="T420" s="195"/>
      <c r="U420" s="195"/>
      <c r="V420" s="195"/>
      <c r="W420" s="195"/>
      <c r="X420" s="195"/>
    </row>
    <row r="421" spans="1:24" x14ac:dyDescent="0.2">
      <c r="A421" s="195"/>
      <c r="B421" s="195"/>
      <c r="C421" s="195"/>
      <c r="D421" s="195"/>
      <c r="E421" s="195"/>
      <c r="F421" s="195"/>
      <c r="G421" s="195"/>
      <c r="H421" s="195"/>
      <c r="I421" s="195"/>
      <c r="J421" s="195"/>
      <c r="K421" s="195"/>
      <c r="L421" s="195"/>
      <c r="M421" s="195"/>
      <c r="N421" s="195"/>
      <c r="O421" s="195"/>
      <c r="P421" s="195"/>
      <c r="Q421" s="195"/>
      <c r="R421" s="195"/>
      <c r="S421" s="195"/>
      <c r="T421" s="195"/>
      <c r="U421" s="195"/>
      <c r="V421" s="195"/>
      <c r="W421" s="195"/>
      <c r="X421" s="195"/>
    </row>
    <row r="422" spans="1:24" x14ac:dyDescent="0.2">
      <c r="A422" s="195"/>
      <c r="B422" s="195"/>
      <c r="C422" s="195"/>
      <c r="D422" s="195"/>
      <c r="E422" s="195"/>
      <c r="F422" s="195"/>
      <c r="G422" s="195"/>
      <c r="H422" s="195"/>
      <c r="I422" s="195"/>
      <c r="J422" s="195"/>
      <c r="K422" s="195"/>
      <c r="L422" s="195"/>
      <c r="M422" s="195"/>
      <c r="N422" s="195"/>
      <c r="O422" s="195"/>
      <c r="P422" s="195"/>
      <c r="Q422" s="195"/>
      <c r="R422" s="195"/>
      <c r="S422" s="195"/>
      <c r="T422" s="195"/>
      <c r="U422" s="195"/>
      <c r="V422" s="195"/>
      <c r="W422" s="195"/>
      <c r="X422" s="195"/>
    </row>
    <row r="423" spans="1:24" x14ac:dyDescent="0.2">
      <c r="A423" s="195"/>
      <c r="B423" s="195"/>
      <c r="C423" s="195"/>
      <c r="D423" s="195"/>
      <c r="E423" s="195"/>
      <c r="F423" s="195"/>
      <c r="G423" s="195"/>
      <c r="H423" s="195"/>
      <c r="I423" s="195"/>
      <c r="J423" s="195"/>
      <c r="K423" s="195"/>
      <c r="L423" s="195"/>
      <c r="M423" s="195"/>
      <c r="N423" s="195"/>
      <c r="O423" s="195"/>
      <c r="P423" s="195"/>
      <c r="Q423" s="195"/>
      <c r="R423" s="195"/>
      <c r="S423" s="195"/>
      <c r="T423" s="195"/>
      <c r="U423" s="195"/>
      <c r="V423" s="195"/>
      <c r="W423" s="195"/>
      <c r="X423" s="195"/>
    </row>
    <row r="424" spans="1:24" x14ac:dyDescent="0.2">
      <c r="A424" s="195"/>
      <c r="B424" s="195"/>
      <c r="C424" s="195"/>
      <c r="D424" s="195"/>
      <c r="E424" s="195"/>
      <c r="F424" s="195"/>
      <c r="G424" s="195"/>
      <c r="H424" s="195"/>
      <c r="I424" s="195"/>
      <c r="J424" s="195"/>
      <c r="K424" s="195"/>
      <c r="L424" s="195"/>
      <c r="M424" s="195"/>
      <c r="N424" s="195"/>
      <c r="O424" s="195"/>
      <c r="P424" s="195"/>
      <c r="Q424" s="195"/>
      <c r="R424" s="195"/>
      <c r="S424" s="195"/>
      <c r="T424" s="195"/>
      <c r="U424" s="195"/>
      <c r="V424" s="195"/>
      <c r="W424" s="195"/>
      <c r="X424" s="195"/>
    </row>
    <row r="425" spans="1:24" x14ac:dyDescent="0.2">
      <c r="A425" s="195"/>
      <c r="B425" s="195"/>
      <c r="C425" s="195"/>
      <c r="D425" s="195"/>
      <c r="E425" s="195"/>
      <c r="F425" s="195"/>
      <c r="G425" s="195"/>
      <c r="H425" s="195"/>
      <c r="I425" s="195"/>
      <c r="J425" s="195"/>
      <c r="K425" s="195"/>
      <c r="L425" s="195"/>
      <c r="M425" s="195"/>
      <c r="N425" s="195"/>
      <c r="O425" s="195"/>
      <c r="P425" s="195"/>
      <c r="Q425" s="195"/>
      <c r="R425" s="195"/>
      <c r="S425" s="195"/>
      <c r="T425" s="195"/>
      <c r="U425" s="195"/>
      <c r="V425" s="195"/>
      <c r="W425" s="195"/>
      <c r="X425" s="195"/>
    </row>
    <row r="426" spans="1:24" x14ac:dyDescent="0.2">
      <c r="A426" s="195"/>
      <c r="B426" s="195"/>
      <c r="C426" s="195"/>
      <c r="D426" s="195"/>
      <c r="E426" s="195"/>
      <c r="F426" s="195"/>
      <c r="G426" s="195"/>
      <c r="H426" s="195"/>
      <c r="I426" s="195"/>
      <c r="J426" s="195"/>
      <c r="K426" s="195"/>
      <c r="L426" s="195"/>
      <c r="M426" s="195"/>
      <c r="N426" s="195"/>
      <c r="O426" s="195"/>
      <c r="P426" s="195"/>
      <c r="Q426" s="195"/>
      <c r="R426" s="195"/>
      <c r="S426" s="195"/>
      <c r="T426" s="195"/>
      <c r="U426" s="195"/>
      <c r="V426" s="195"/>
      <c r="W426" s="195"/>
      <c r="X426" s="195"/>
    </row>
    <row r="427" spans="1:24" x14ac:dyDescent="0.2">
      <c r="A427" s="195"/>
      <c r="B427" s="195"/>
      <c r="C427" s="195"/>
      <c r="D427" s="195"/>
      <c r="E427" s="195"/>
      <c r="F427" s="195"/>
      <c r="G427" s="195"/>
      <c r="H427" s="195"/>
      <c r="I427" s="195"/>
      <c r="J427" s="195"/>
      <c r="K427" s="195"/>
      <c r="L427" s="195"/>
      <c r="M427" s="195"/>
      <c r="N427" s="195"/>
      <c r="O427" s="195"/>
      <c r="P427" s="195"/>
      <c r="Q427" s="195"/>
      <c r="R427" s="195"/>
      <c r="S427" s="195"/>
      <c r="T427" s="195"/>
      <c r="U427" s="195"/>
      <c r="V427" s="195"/>
      <c r="W427" s="195"/>
      <c r="X427" s="195"/>
    </row>
    <row r="428" spans="1:24" x14ac:dyDescent="0.2">
      <c r="A428" s="195"/>
      <c r="B428" s="195"/>
      <c r="C428" s="195"/>
      <c r="D428" s="195"/>
      <c r="E428" s="195"/>
      <c r="F428" s="195"/>
      <c r="G428" s="195"/>
      <c r="H428" s="195"/>
      <c r="I428" s="195"/>
      <c r="J428" s="195"/>
      <c r="K428" s="195"/>
      <c r="L428" s="195"/>
      <c r="M428" s="195"/>
      <c r="N428" s="195"/>
      <c r="O428" s="195"/>
      <c r="P428" s="195"/>
      <c r="Q428" s="195"/>
      <c r="R428" s="195"/>
      <c r="S428" s="195"/>
      <c r="T428" s="195"/>
      <c r="U428" s="195"/>
      <c r="V428" s="195"/>
      <c r="W428" s="195"/>
      <c r="X428" s="195"/>
    </row>
    <row r="429" spans="1:24" x14ac:dyDescent="0.2">
      <c r="A429" s="195"/>
      <c r="B429" s="195"/>
      <c r="C429" s="195"/>
      <c r="D429" s="195"/>
      <c r="E429" s="195"/>
      <c r="F429" s="195"/>
      <c r="G429" s="195"/>
      <c r="H429" s="195"/>
      <c r="I429" s="195"/>
      <c r="J429" s="195"/>
      <c r="K429" s="195"/>
      <c r="L429" s="195"/>
      <c r="M429" s="195"/>
      <c r="N429" s="195"/>
      <c r="O429" s="195"/>
      <c r="P429" s="195"/>
      <c r="Q429" s="195"/>
      <c r="R429" s="195"/>
      <c r="S429" s="195"/>
      <c r="T429" s="195"/>
      <c r="U429" s="195"/>
      <c r="V429" s="195"/>
      <c r="W429" s="195"/>
      <c r="X429" s="195"/>
    </row>
    <row r="430" spans="1:24" x14ac:dyDescent="0.2">
      <c r="A430" s="195"/>
      <c r="B430" s="195"/>
      <c r="C430" s="195"/>
      <c r="D430" s="195"/>
      <c r="E430" s="195"/>
      <c r="F430" s="195"/>
      <c r="G430" s="195"/>
      <c r="H430" s="195"/>
      <c r="I430" s="195"/>
      <c r="J430" s="195"/>
      <c r="K430" s="195"/>
      <c r="L430" s="195"/>
      <c r="M430" s="195"/>
      <c r="N430" s="195"/>
      <c r="O430" s="195"/>
      <c r="P430" s="195"/>
      <c r="Q430" s="195"/>
      <c r="R430" s="195"/>
      <c r="S430" s="195"/>
      <c r="T430" s="195"/>
      <c r="U430" s="195"/>
      <c r="V430" s="195"/>
      <c r="W430" s="195"/>
      <c r="X430" s="195"/>
    </row>
    <row r="431" spans="1:24" x14ac:dyDescent="0.2">
      <c r="A431" s="195"/>
      <c r="B431" s="195"/>
      <c r="C431" s="195"/>
      <c r="D431" s="195"/>
      <c r="E431" s="195"/>
      <c r="F431" s="195"/>
      <c r="G431" s="195"/>
      <c r="H431" s="195"/>
      <c r="I431" s="195"/>
      <c r="J431" s="195"/>
      <c r="K431" s="195"/>
      <c r="L431" s="195"/>
      <c r="M431" s="195"/>
      <c r="N431" s="195"/>
      <c r="O431" s="195"/>
      <c r="P431" s="195"/>
      <c r="Q431" s="195"/>
      <c r="R431" s="195"/>
      <c r="S431" s="195"/>
      <c r="T431" s="195"/>
      <c r="U431" s="195"/>
      <c r="V431" s="195"/>
      <c r="W431" s="195"/>
      <c r="X431" s="195"/>
    </row>
    <row r="432" spans="1:24" x14ac:dyDescent="0.2">
      <c r="A432" s="195"/>
      <c r="B432" s="195"/>
      <c r="C432" s="195"/>
      <c r="D432" s="195"/>
      <c r="E432" s="195"/>
      <c r="F432" s="195"/>
      <c r="G432" s="195"/>
      <c r="H432" s="195"/>
      <c r="I432" s="195"/>
      <c r="J432" s="195"/>
      <c r="K432" s="195"/>
      <c r="L432" s="195"/>
      <c r="M432" s="195"/>
      <c r="N432" s="195"/>
      <c r="O432" s="195"/>
      <c r="P432" s="195"/>
      <c r="Q432" s="195"/>
      <c r="R432" s="195"/>
      <c r="S432" s="195"/>
      <c r="T432" s="195"/>
      <c r="U432" s="195"/>
      <c r="V432" s="195"/>
      <c r="W432" s="195"/>
      <c r="X432" s="195"/>
    </row>
    <row r="433" spans="1:24" x14ac:dyDescent="0.2">
      <c r="A433" s="195"/>
      <c r="B433" s="195"/>
      <c r="C433" s="195"/>
      <c r="D433" s="195"/>
      <c r="E433" s="195"/>
      <c r="F433" s="195"/>
      <c r="G433" s="195"/>
      <c r="H433" s="195"/>
      <c r="I433" s="195"/>
      <c r="J433" s="195"/>
      <c r="K433" s="195"/>
      <c r="L433" s="195"/>
      <c r="M433" s="195"/>
      <c r="N433" s="195"/>
      <c r="O433" s="195"/>
      <c r="P433" s="195"/>
      <c r="Q433" s="195"/>
      <c r="R433" s="195"/>
      <c r="S433" s="195"/>
      <c r="T433" s="195"/>
      <c r="U433" s="195"/>
      <c r="V433" s="195"/>
      <c r="W433" s="195"/>
      <c r="X433" s="195"/>
    </row>
    <row r="434" spans="1:24" x14ac:dyDescent="0.2">
      <c r="A434" s="195"/>
      <c r="B434" s="195"/>
      <c r="C434" s="195"/>
      <c r="D434" s="195"/>
      <c r="E434" s="195"/>
      <c r="F434" s="195"/>
      <c r="G434" s="195"/>
      <c r="H434" s="195"/>
      <c r="I434" s="195"/>
      <c r="J434" s="195"/>
      <c r="K434" s="195"/>
      <c r="L434" s="195"/>
      <c r="M434" s="195"/>
      <c r="N434" s="195"/>
      <c r="O434" s="195"/>
      <c r="P434" s="195"/>
      <c r="Q434" s="195"/>
      <c r="R434" s="195"/>
      <c r="S434" s="195"/>
      <c r="T434" s="195"/>
      <c r="U434" s="195"/>
      <c r="V434" s="195"/>
      <c r="W434" s="195"/>
      <c r="X434" s="195"/>
    </row>
    <row r="435" spans="1:24" x14ac:dyDescent="0.2">
      <c r="A435" s="195"/>
      <c r="B435" s="195"/>
      <c r="C435" s="195"/>
      <c r="D435" s="195"/>
      <c r="E435" s="195"/>
      <c r="F435" s="195"/>
      <c r="G435" s="195"/>
      <c r="H435" s="195"/>
      <c r="I435" s="195"/>
      <c r="J435" s="195"/>
      <c r="K435" s="195"/>
      <c r="L435" s="195"/>
      <c r="M435" s="195"/>
      <c r="N435" s="195"/>
      <c r="O435" s="195"/>
      <c r="P435" s="195"/>
      <c r="Q435" s="195"/>
      <c r="R435" s="195"/>
      <c r="S435" s="195"/>
      <c r="T435" s="195"/>
      <c r="U435" s="195"/>
      <c r="V435" s="195"/>
      <c r="W435" s="195"/>
      <c r="X435" s="195"/>
    </row>
  </sheetData>
  <sheetProtection formatCells="0" formatColumns="0" formatRows="0"/>
  <dataConsolidate/>
  <mergeCells count="366">
    <mergeCell ref="M167:O167"/>
    <mergeCell ref="M168:O168"/>
    <mergeCell ref="M169:O169"/>
    <mergeCell ref="M158:O158"/>
    <mergeCell ref="M159:O159"/>
    <mergeCell ref="M160:O160"/>
    <mergeCell ref="M161:O161"/>
    <mergeCell ref="M162:O162"/>
    <mergeCell ref="M163:O163"/>
    <mergeCell ref="M164:O164"/>
    <mergeCell ref="M165:O165"/>
    <mergeCell ref="M166:O166"/>
    <mergeCell ref="A1:B1"/>
    <mergeCell ref="A2:B2"/>
    <mergeCell ref="R6:R7"/>
    <mergeCell ref="S6:S7"/>
    <mergeCell ref="T6:T7"/>
    <mergeCell ref="H186:J186"/>
    <mergeCell ref="M170:O170"/>
    <mergeCell ref="M171:O171"/>
    <mergeCell ref="M172:O172"/>
    <mergeCell ref="M173:O173"/>
    <mergeCell ref="M180:O180"/>
    <mergeCell ref="M181:O181"/>
    <mergeCell ref="M174:O174"/>
    <mergeCell ref="M175:O175"/>
    <mergeCell ref="M176:O176"/>
    <mergeCell ref="M177:O177"/>
    <mergeCell ref="M178:O178"/>
    <mergeCell ref="M179:O179"/>
    <mergeCell ref="N59:O59"/>
    <mergeCell ref="N48:O48"/>
    <mergeCell ref="N53:O53"/>
    <mergeCell ref="Q6:Q7"/>
    <mergeCell ref="P186:U186"/>
    <mergeCell ref="A184:O184"/>
    <mergeCell ref="U6:U7"/>
    <mergeCell ref="A6:A7"/>
    <mergeCell ref="P6:P7"/>
    <mergeCell ref="M182:O182"/>
    <mergeCell ref="A63:C63"/>
    <mergeCell ref="A73:C73"/>
    <mergeCell ref="A75:C75"/>
    <mergeCell ref="A86:C86"/>
    <mergeCell ref="M155:O155"/>
    <mergeCell ref="M156:O156"/>
    <mergeCell ref="M157:O157"/>
    <mergeCell ref="N49:O49"/>
    <mergeCell ref="N50:O50"/>
    <mergeCell ref="N51:O51"/>
    <mergeCell ref="A155:C155"/>
    <mergeCell ref="A140:C140"/>
    <mergeCell ref="A89:D89"/>
    <mergeCell ref="A98:C98"/>
    <mergeCell ref="A133:D133"/>
    <mergeCell ref="A95:D95"/>
    <mergeCell ref="O6:O7"/>
    <mergeCell ref="B54:D54"/>
    <mergeCell ref="N52:O52"/>
    <mergeCell ref="A97:C97"/>
    <mergeCell ref="A135:C135"/>
    <mergeCell ref="B90:D90"/>
    <mergeCell ref="S34:T34"/>
    <mergeCell ref="N36:O36"/>
    <mergeCell ref="L36:M36"/>
    <mergeCell ref="A60:O60"/>
    <mergeCell ref="A61:O61"/>
    <mergeCell ref="L58:M58"/>
    <mergeCell ref="L59:M59"/>
    <mergeCell ref="L48:M48"/>
    <mergeCell ref="L49:M49"/>
    <mergeCell ref="L50:M50"/>
    <mergeCell ref="L51:M51"/>
    <mergeCell ref="L52:M52"/>
    <mergeCell ref="L53:M53"/>
    <mergeCell ref="N54:O54"/>
    <mergeCell ref="N55:O55"/>
    <mergeCell ref="N56:O56"/>
    <mergeCell ref="N57:O57"/>
    <mergeCell ref="N58:O58"/>
    <mergeCell ref="N44:O44"/>
    <mergeCell ref="N45:O45"/>
    <mergeCell ref="N46:O46"/>
    <mergeCell ref="N47:O47"/>
    <mergeCell ref="A203:C203"/>
    <mergeCell ref="A204:C204"/>
    <mergeCell ref="A205:C205"/>
    <mergeCell ref="J37:K37"/>
    <mergeCell ref="B52:D52"/>
    <mergeCell ref="B91:D91"/>
    <mergeCell ref="B92:D92"/>
    <mergeCell ref="B93:D93"/>
    <mergeCell ref="B94:D94"/>
    <mergeCell ref="A188:C188"/>
    <mergeCell ref="A189:C189"/>
    <mergeCell ref="I197:J197"/>
    <mergeCell ref="E38:F38"/>
    <mergeCell ref="E39:F39"/>
    <mergeCell ref="E40:F40"/>
    <mergeCell ref="B37:D37"/>
    <mergeCell ref="B38:D38"/>
    <mergeCell ref="B39:D39"/>
    <mergeCell ref="B40:D40"/>
    <mergeCell ref="B41:D41"/>
    <mergeCell ref="B42:D42"/>
    <mergeCell ref="E59:F59"/>
    <mergeCell ref="E53:F53"/>
    <mergeCell ref="E54:F54"/>
    <mergeCell ref="D198:G198"/>
    <mergeCell ref="D191:G191"/>
    <mergeCell ref="D192:G192"/>
    <mergeCell ref="D193:G193"/>
    <mergeCell ref="D194:G194"/>
    <mergeCell ref="D195:G195"/>
    <mergeCell ref="A190:C190"/>
    <mergeCell ref="A191:C191"/>
    <mergeCell ref="A192:C192"/>
    <mergeCell ref="E6:G6"/>
    <mergeCell ref="I190:J190"/>
    <mergeCell ref="I188:J188"/>
    <mergeCell ref="D189:G189"/>
    <mergeCell ref="D190:G190"/>
    <mergeCell ref="D188:G188"/>
    <mergeCell ref="R4:S4"/>
    <mergeCell ref="J58:K58"/>
    <mergeCell ref="J59:K59"/>
    <mergeCell ref="J48:K48"/>
    <mergeCell ref="J49:K49"/>
    <mergeCell ref="J50:K50"/>
    <mergeCell ref="J51:K51"/>
    <mergeCell ref="J52:K52"/>
    <mergeCell ref="J53:K53"/>
    <mergeCell ref="J43:K43"/>
    <mergeCell ref="J44:K44"/>
    <mergeCell ref="J45:K45"/>
    <mergeCell ref="J46:K46"/>
    <mergeCell ref="J47:K47"/>
    <mergeCell ref="J55:K55"/>
    <mergeCell ref="J56:K56"/>
    <mergeCell ref="J57:K57"/>
    <mergeCell ref="N43:O43"/>
    <mergeCell ref="T1:U1"/>
    <mergeCell ref="A4:L5"/>
    <mergeCell ref="M75:O75"/>
    <mergeCell ref="H44:I44"/>
    <mergeCell ref="H45:I45"/>
    <mergeCell ref="H46:I46"/>
    <mergeCell ref="H47:I47"/>
    <mergeCell ref="J35:K35"/>
    <mergeCell ref="H58:I58"/>
    <mergeCell ref="H59:I59"/>
    <mergeCell ref="H48:I48"/>
    <mergeCell ref="H49:I49"/>
    <mergeCell ref="H50:I50"/>
    <mergeCell ref="H51:I51"/>
    <mergeCell ref="H52:I52"/>
    <mergeCell ref="H53:I53"/>
    <mergeCell ref="H54:I54"/>
    <mergeCell ref="N38:O38"/>
    <mergeCell ref="N39:O39"/>
    <mergeCell ref="N40:O40"/>
    <mergeCell ref="N41:O41"/>
    <mergeCell ref="L37:M37"/>
    <mergeCell ref="L38:M38"/>
    <mergeCell ref="L39:M39"/>
    <mergeCell ref="N230:O230"/>
    <mergeCell ref="N231:O231"/>
    <mergeCell ref="A206:C206"/>
    <mergeCell ref="B36:D36"/>
    <mergeCell ref="B187:J187"/>
    <mergeCell ref="A201:J201"/>
    <mergeCell ref="K201:O201"/>
    <mergeCell ref="A202:C202"/>
    <mergeCell ref="I202:J202"/>
    <mergeCell ref="I204:J204"/>
    <mergeCell ref="N42:O42"/>
    <mergeCell ref="J38:K38"/>
    <mergeCell ref="I207:J207"/>
    <mergeCell ref="I208:J208"/>
    <mergeCell ref="I203:J203"/>
    <mergeCell ref="I206:J206"/>
    <mergeCell ref="I191:J191"/>
    <mergeCell ref="I192:J192"/>
    <mergeCell ref="I193:J193"/>
    <mergeCell ref="I194:J194"/>
    <mergeCell ref="I195:J195"/>
    <mergeCell ref="I196:J196"/>
    <mergeCell ref="I198:J198"/>
    <mergeCell ref="I205:J205"/>
    <mergeCell ref="A84:O84"/>
    <mergeCell ref="A85:O85"/>
    <mergeCell ref="D196:G196"/>
    <mergeCell ref="A247:O247"/>
    <mergeCell ref="A193:C193"/>
    <mergeCell ref="A194:C194"/>
    <mergeCell ref="A195:C195"/>
    <mergeCell ref="A196:C196"/>
    <mergeCell ref="A197:C197"/>
    <mergeCell ref="A198:C198"/>
    <mergeCell ref="I199:J199"/>
    <mergeCell ref="I200:J200"/>
    <mergeCell ref="D199:G199"/>
    <mergeCell ref="D200:G200"/>
    <mergeCell ref="K216:O216"/>
    <mergeCell ref="D208:G208"/>
    <mergeCell ref="D209:G209"/>
    <mergeCell ref="I211:J211"/>
    <mergeCell ref="I212:J212"/>
    <mergeCell ref="A199:C199"/>
    <mergeCell ref="A200:C200"/>
    <mergeCell ref="N227:O227"/>
    <mergeCell ref="N228:O228"/>
    <mergeCell ref="N229:O229"/>
    <mergeCell ref="B57:D57"/>
    <mergeCell ref="B45:D45"/>
    <mergeCell ref="B53:D53"/>
    <mergeCell ref="N251:O251"/>
    <mergeCell ref="J251:K251"/>
    <mergeCell ref="L251:M251"/>
    <mergeCell ref="G251:I251"/>
    <mergeCell ref="G250:O250"/>
    <mergeCell ref="N232:O232"/>
    <mergeCell ref="H249:O249"/>
    <mergeCell ref="D249:G249"/>
    <mergeCell ref="N240:O240"/>
    <mergeCell ref="N241:O241"/>
    <mergeCell ref="N242:O242"/>
    <mergeCell ref="N243:O243"/>
    <mergeCell ref="A245:O245"/>
    <mergeCell ref="A244:O244"/>
    <mergeCell ref="N238:O238"/>
    <mergeCell ref="N239:O239"/>
    <mergeCell ref="N234:O234"/>
    <mergeCell ref="N235:O235"/>
    <mergeCell ref="N236:O236"/>
    <mergeCell ref="N237:O237"/>
    <mergeCell ref="N233:O233"/>
    <mergeCell ref="M19:N19"/>
    <mergeCell ref="M20:N20"/>
    <mergeCell ref="E34:F34"/>
    <mergeCell ref="K226:O226"/>
    <mergeCell ref="D210:G210"/>
    <mergeCell ref="D211:G211"/>
    <mergeCell ref="D212:G212"/>
    <mergeCell ref="D213:G213"/>
    <mergeCell ref="D214:G214"/>
    <mergeCell ref="D215:G215"/>
    <mergeCell ref="I210:J210"/>
    <mergeCell ref="E41:F41"/>
    <mergeCell ref="D203:G203"/>
    <mergeCell ref="D204:G204"/>
    <mergeCell ref="D205:G205"/>
    <mergeCell ref="D206:G206"/>
    <mergeCell ref="D207:G207"/>
    <mergeCell ref="F88:O88"/>
    <mergeCell ref="B59:D59"/>
    <mergeCell ref="D197:G197"/>
    <mergeCell ref="A183:C183"/>
    <mergeCell ref="I189:J189"/>
    <mergeCell ref="H55:I55"/>
    <mergeCell ref="I209:J209"/>
    <mergeCell ref="A35:D35"/>
    <mergeCell ref="E36:F36"/>
    <mergeCell ref="E37:F37"/>
    <mergeCell ref="I216:J216"/>
    <mergeCell ref="I213:J213"/>
    <mergeCell ref="I214:J214"/>
    <mergeCell ref="I215:J215"/>
    <mergeCell ref="E1:E2"/>
    <mergeCell ref="C1:D1"/>
    <mergeCell ref="C2:D2"/>
    <mergeCell ref="G1:O1"/>
    <mergeCell ref="M14:N14"/>
    <mergeCell ref="M15:N15"/>
    <mergeCell ref="M25:N25"/>
    <mergeCell ref="M26:N26"/>
    <mergeCell ref="M27:N27"/>
    <mergeCell ref="M16:N16"/>
    <mergeCell ref="M17:N17"/>
    <mergeCell ref="M18:N18"/>
    <mergeCell ref="G2:O2"/>
    <mergeCell ref="H6:L6"/>
    <mergeCell ref="M4:N5"/>
    <mergeCell ref="O4:O5"/>
    <mergeCell ref="B6:D7"/>
    <mergeCell ref="M22:N22"/>
    <mergeCell ref="M23:N23"/>
    <mergeCell ref="M24:N24"/>
    <mergeCell ref="E35:F35"/>
    <mergeCell ref="B58:D58"/>
    <mergeCell ref="E49:F49"/>
    <mergeCell ref="E50:F50"/>
    <mergeCell ref="E51:F51"/>
    <mergeCell ref="E52:F52"/>
    <mergeCell ref="E42:F42"/>
    <mergeCell ref="E43:F43"/>
    <mergeCell ref="E44:F44"/>
    <mergeCell ref="E45:F45"/>
    <mergeCell ref="E46:F46"/>
    <mergeCell ref="E47:F47"/>
    <mergeCell ref="E48:F48"/>
    <mergeCell ref="B51:D51"/>
    <mergeCell ref="B43:D43"/>
    <mergeCell ref="B44:D44"/>
    <mergeCell ref="B55:D55"/>
    <mergeCell ref="B56:D56"/>
    <mergeCell ref="E55:F55"/>
    <mergeCell ref="E56:F56"/>
    <mergeCell ref="E57:F57"/>
    <mergeCell ref="M12:N12"/>
    <mergeCell ref="J34:K34"/>
    <mergeCell ref="N34:O34"/>
    <mergeCell ref="N35:O35"/>
    <mergeCell ref="L35:M35"/>
    <mergeCell ref="H38:I38"/>
    <mergeCell ref="H39:I39"/>
    <mergeCell ref="H40:I40"/>
    <mergeCell ref="H42:I42"/>
    <mergeCell ref="J39:K39"/>
    <mergeCell ref="J40:K40"/>
    <mergeCell ref="J41:K41"/>
    <mergeCell ref="H36:I36"/>
    <mergeCell ref="H37:I37"/>
    <mergeCell ref="H35:I35"/>
    <mergeCell ref="N37:O37"/>
    <mergeCell ref="M13:N13"/>
    <mergeCell ref="H34:I34"/>
    <mergeCell ref="L34:M34"/>
    <mergeCell ref="M28:N28"/>
    <mergeCell ref="M29:N29"/>
    <mergeCell ref="M30:N30"/>
    <mergeCell ref="M31:N31"/>
    <mergeCell ref="M21:N21"/>
    <mergeCell ref="J54:K54"/>
    <mergeCell ref="L44:M44"/>
    <mergeCell ref="L45:M45"/>
    <mergeCell ref="L46:M46"/>
    <mergeCell ref="L47:M47"/>
    <mergeCell ref="L43:M43"/>
    <mergeCell ref="L40:M40"/>
    <mergeCell ref="L41:M41"/>
    <mergeCell ref="L42:M42"/>
    <mergeCell ref="P34:Q34"/>
    <mergeCell ref="P1:S1"/>
    <mergeCell ref="E58:F58"/>
    <mergeCell ref="H41:I41"/>
    <mergeCell ref="J42:K42"/>
    <mergeCell ref="J36:K36"/>
    <mergeCell ref="M6:N7"/>
    <mergeCell ref="M8:N8"/>
    <mergeCell ref="M9:N9"/>
    <mergeCell ref="M10:N10"/>
    <mergeCell ref="M11:N11"/>
    <mergeCell ref="H43:I43"/>
    <mergeCell ref="A32:O32"/>
    <mergeCell ref="B46:D46"/>
    <mergeCell ref="B47:D47"/>
    <mergeCell ref="B48:D48"/>
    <mergeCell ref="B49:D49"/>
    <mergeCell ref="B50:D50"/>
    <mergeCell ref="L54:M54"/>
    <mergeCell ref="L55:M55"/>
    <mergeCell ref="L56:M56"/>
    <mergeCell ref="L57:M57"/>
    <mergeCell ref="H57:I57"/>
    <mergeCell ref="H56:I56"/>
  </mergeCells>
  <conditionalFormatting sqref="O8:O31">
    <cfRule type="expression" dxfId="25" priority="40">
      <formula>$U$4="Multi"</formula>
    </cfRule>
  </conditionalFormatting>
  <conditionalFormatting sqref="A250:O250">
    <cfRule type="expression" dxfId="24" priority="43">
      <formula>$J$251&lt;&gt;"CUSTOM"</formula>
    </cfRule>
  </conditionalFormatting>
  <conditionalFormatting sqref="N36:O59">
    <cfRule type="expression" dxfId="23" priority="24">
      <formula>$T$2="0 Months"</formula>
    </cfRule>
  </conditionalFormatting>
  <conditionalFormatting sqref="H36:I59">
    <cfRule type="expression" dxfId="22" priority="27">
      <formula>$Q$2="0 Months"</formula>
    </cfRule>
  </conditionalFormatting>
  <conditionalFormatting sqref="J36:K59">
    <cfRule type="expression" dxfId="21" priority="26">
      <formula>$R$2="0 Months"</formula>
    </cfRule>
  </conditionalFormatting>
  <conditionalFormatting sqref="L36:M59">
    <cfRule type="expression" dxfId="20" priority="25">
      <formula>$S$2="0 Months"</formula>
    </cfRule>
  </conditionalFormatting>
  <conditionalFormatting sqref="N227:O243">
    <cfRule type="containsText" dxfId="19" priority="22" operator="containsText" text="No">
      <formula>NOT(ISERROR(SEARCH("No",N227)))</formula>
    </cfRule>
  </conditionalFormatting>
  <conditionalFormatting sqref="A247:U247">
    <cfRule type="expression" dxfId="18" priority="52">
      <formula>$E$1="Non-NIH"</formula>
    </cfRule>
  </conditionalFormatting>
  <conditionalFormatting sqref="A184:U184">
    <cfRule type="expression" dxfId="17" priority="53">
      <formula>$E$1="Non-NIH"</formula>
    </cfRule>
    <cfRule type="expression" dxfId="16" priority="54">
      <formula>$E$1="Non-NIH"</formula>
    </cfRule>
  </conditionalFormatting>
  <conditionalFormatting sqref="H8:L31">
    <cfRule type="expression" dxfId="15" priority="1" stopIfTrue="1">
      <formula>TRUNC(H8*100)=H8*100</formula>
    </cfRule>
    <cfRule type="expression" dxfId="14" priority="2" stopIfTrue="1">
      <formula>TRUNC(H8*100,1)=H8*100</formula>
    </cfRule>
    <cfRule type="expression" dxfId="13" priority="3" stopIfTrue="1">
      <formula>TRUNC(H8*100,2)=H8*100</formula>
    </cfRule>
    <cfRule type="expression" dxfId="12" priority="4">
      <formula>TRUNC(H8*100)&lt;&gt;H8*100</formula>
    </cfRule>
  </conditionalFormatting>
  <dataValidations count="20">
    <dataValidation type="list" allowBlank="1" showInputMessage="1" showErrorMessage="1" sqref="U4">
      <formula1>"0%,1%,2%,3%,4%,5%,6%,7%,8%,Multi"</formula1>
    </dataValidation>
    <dataValidation type="list" allowBlank="1" showInputMessage="1" showErrorMessage="1" sqref="T4">
      <formula1>"FY,PY"</formula1>
    </dataValidation>
    <dataValidation type="list" allowBlank="1" showInputMessage="1" showErrorMessage="1" sqref="O8:O31">
      <formula1>"0%,1%,2%,3%,4%,5%,6%,7%,8%"</formula1>
    </dataValidation>
    <dataValidation type="list" allowBlank="1" showInputMessage="1" showErrorMessage="1" sqref="O76:O85 N227:O245">
      <formula1>"Yes,No"</formula1>
    </dataValidation>
    <dataValidation type="list" allowBlank="1" showInputMessage="1" showErrorMessage="1" sqref="H189:H200">
      <formula1>"0%,1%,2%,3%,4%,5%,6%,7%,8%,9%,10%"</formula1>
    </dataValidation>
    <dataValidation type="list" allowBlank="1" showInputMessage="1" showErrorMessage="1" sqref="K216:O216">
      <formula1>"Federal,Non-Federal"</formula1>
    </dataValidation>
    <dataValidation type="list" allowBlank="1" showInputMessage="1" showErrorMessage="1" sqref="J251">
      <formula1>"MTDC,TC,TDC,CUSTOM"</formula1>
    </dataValidation>
    <dataValidation type="list" allowBlank="1" showInputMessage="1" showErrorMessage="1" sqref="U34">
      <formula1>"Yes,Period 1 Only,NICRA"</formula1>
    </dataValidation>
    <dataValidation type="list" allowBlank="1" showInputMessage="1" showErrorMessage="1" sqref="P2">
      <formula1>"1 Month,2 Months,3 Months,4 Months,5 Months,6 Months,7 Months,8 Months,9 Months,10 Months,11 Months,12 Months"</formula1>
    </dataValidation>
    <dataValidation type="list" allowBlank="1" showInputMessage="1" showErrorMessage="1" sqref="H188">
      <formula1>"AY,PY"</formula1>
    </dataValidation>
    <dataValidation type="list" allowBlank="1" showInputMessage="1" showErrorMessage="1" sqref="D189:G200">
      <formula1>"Resident,Non-Resident,Part-Time,Summer Only, Filing Status, Fellowship,Other"</formula1>
    </dataValidation>
    <dataValidation type="list" allowBlank="1" showInputMessage="1" showErrorMessage="1" sqref="D188:G188">
      <formula1>"Use Buydown, Use Full Rates"</formula1>
    </dataValidation>
    <dataValidation type="list" allowBlank="1" showInputMessage="1" showErrorMessage="1" sqref="E1">
      <formula1>"NIH,Non-NIH"</formula1>
    </dataValidation>
    <dataValidation type="list" allowBlank="1" showInputMessage="1" showErrorMessage="1" sqref="M156:O182">
      <formula1>"Non-UC,UC, Excluded,IC of Above"</formula1>
    </dataValidation>
    <dataValidation type="list" allowBlank="1" showInputMessage="1" showErrorMessage="1" sqref="D203:F215">
      <formula1>"On-Boarding- No Agreement, On-Boarding - Agreement, Continuing Review"</formula1>
    </dataValidation>
    <dataValidation type="list" allowBlank="1" showInputMessage="1" showErrorMessage="1" sqref="H203:H215">
      <formula1>"UC, Non-UC"</formula1>
    </dataValidation>
    <dataValidation type="date" operator="lessThan" allowBlank="1" showInputMessage="1" showErrorMessage="1" promptTitle="Archive Date" prompt="Enter an archive date to keep FY escalations static once you are finished with proposal budget (date should be before project start date and is usually proposal due date.)" sqref="T1:U1">
      <formula1>C1</formula1>
    </dataValidation>
    <dataValidation type="list" allowBlank="1" showInputMessage="1" showErrorMessage="1" sqref="M8:N31">
      <formula1>"CAL 12/12, AY 9/12, AY 11/12, SMR 9/12, SMR 11/12"</formula1>
    </dataValidation>
    <dataValidation type="list" allowBlank="1" showInputMessage="1" showErrorMessage="1" sqref="K188:O188">
      <formula1>"#GSRs,QRTs"</formula1>
    </dataValidation>
    <dataValidation type="list" allowBlank="1" showInputMessage="1" showErrorMessage="1" sqref="R34">
      <formula1>"No, Yes"</formula1>
    </dataValidation>
  </dataValidations>
  <printOptions horizontalCentered="1"/>
  <pageMargins left="0.2" right="0" top="0.25" bottom="0.25" header="0.05" footer="0.05"/>
  <pageSetup scale="69" fitToHeight="3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5" id="{10CEDDFF-42CD-4F0F-A0F2-518C149CA4BC}">
            <xm:f>$H$249&lt;&gt;Worksheet!$A$116</xm:f>
            <x14:dxf>
              <font>
                <color theme="0"/>
              </font>
              <border>
                <left/>
                <right/>
                <top/>
                <bottom style="thin">
                  <color auto="1"/>
                </bottom>
                <vertical/>
                <horizontal/>
              </border>
            </x14:dxf>
          </x14:cfRule>
          <xm:sqref>J251:M251 G251</xm:sqref>
        </x14:conditionalFormatting>
        <x14:conditionalFormatting xmlns:xm="http://schemas.microsoft.com/office/excel/2006/main">
          <x14:cfRule type="expression" priority="47" id="{B78169D6-B527-4B73-A520-F786EBE79368}">
            <xm:f>$H$249&lt;&gt;Worksheet!$A$116</xm:f>
            <x14:dxf>
              <font>
                <color theme="0"/>
              </font>
              <border>
                <left/>
                <right style="thin">
                  <color auto="1"/>
                </right>
                <top/>
                <bottom style="thin">
                  <color auto="1"/>
                </bottom>
                <vertical/>
                <horizontal/>
              </border>
            </x14:dxf>
          </x14:cfRule>
          <xm:sqref>N251:O251</xm:sqref>
        </x14:conditionalFormatting>
        <x14:conditionalFormatting xmlns:xm="http://schemas.microsoft.com/office/excel/2006/main">
          <x14:cfRule type="expression" priority="48" id="{6C5B5434-2981-4A4B-AF8F-E7E0B6334870}">
            <xm:f>$H$249&lt;&gt;Worksheet!$A$116</xm:f>
            <x14:dxf>
              <font>
                <color theme="0"/>
              </font>
              <border>
                <left/>
                <bottom/>
                <vertical/>
                <horizontal/>
              </border>
            </x14:dxf>
          </x14:cfRule>
          <xm:sqref>G250:O250</xm:sqref>
        </x14:conditionalFormatting>
        <x14:conditionalFormatting xmlns:xm="http://schemas.microsoft.com/office/excel/2006/main">
          <x14:cfRule type="expression" priority="33" id="{8E7AF114-F0E4-4F52-ADD9-41B1176F0E26}">
            <xm:f>Worksheet!$G$5=0</xm:f>
            <x14:dxf>
              <font>
                <color theme="0"/>
              </font>
            </x14:dxf>
          </x14:cfRule>
          <xm:sqref>N36:O59</xm:sqref>
        </x14:conditionalFormatting>
        <x14:conditionalFormatting xmlns:xm="http://schemas.microsoft.com/office/excel/2006/main">
          <x14:cfRule type="expression" priority="32" id="{8E69FC05-8F5E-4708-9C6A-A0C4AE5B2D6D}">
            <xm:f>Worksheet!$B$5&lt;Worksheet!$C$1</xm:f>
            <x14:dxf>
              <font>
                <color theme="0"/>
              </font>
            </x14:dxf>
          </x14:cfRule>
          <xm:sqref>P2</xm:sqref>
        </x14:conditionalFormatting>
        <x14:conditionalFormatting xmlns:xm="http://schemas.microsoft.com/office/excel/2006/main">
          <x14:cfRule type="expression" priority="31" id="{A1AB9A02-3A33-41CA-9D8D-B5B210BF9B55}">
            <xm:f>Worksheet!$B$5&lt;Worksheet!$C$1</xm:f>
            <x14:dxf>
              <font>
                <color theme="5" tint="-0.24994659260841701"/>
              </font>
              <fill>
                <patternFill>
                  <bgColor theme="0" tint="-0.14996795556505021"/>
                </patternFill>
              </fill>
              <border>
                <right style="thin">
                  <color auto="1"/>
                </right>
              </border>
            </x14:dxf>
          </x14:cfRule>
          <xm:sqref>P4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Worksheet!$A$75:$A$94</xm:f>
          </x14:formula1>
          <xm:sqref>E36:E59</xm:sqref>
        </x14:dataValidation>
        <x14:dataValidation type="list" allowBlank="1" showInputMessage="1" showErrorMessage="1">
          <x14:formula1>
            <xm:f>Worksheet!$A$111:$A$116</xm:f>
          </x14:formula1>
          <xm:sqref>H249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>
      <selection activeCell="E29" sqref="E29"/>
    </sheetView>
  </sheetViews>
  <sheetFormatPr defaultColWidth="8.85546875" defaultRowHeight="14.25" x14ac:dyDescent="0.2"/>
  <cols>
    <col min="1" max="1" width="37.28515625" style="1" customWidth="1"/>
    <col min="2" max="11" width="13.28515625" style="1" customWidth="1"/>
    <col min="12" max="13" width="8.85546875" style="1"/>
    <col min="14" max="14" width="11.28515625" style="1" bestFit="1" customWidth="1"/>
    <col min="15" max="16384" width="8.85546875" style="1"/>
  </cols>
  <sheetData>
    <row r="1" spans="1:11" ht="23.45" customHeight="1" x14ac:dyDescent="0.2"/>
    <row r="2" spans="1:11" ht="13.9" customHeight="1" x14ac:dyDescent="0.2">
      <c r="A2" s="494" t="s">
        <v>111</v>
      </c>
      <c r="B2" s="485" t="s">
        <v>177</v>
      </c>
      <c r="C2" s="486"/>
      <c r="D2" s="485" t="s">
        <v>178</v>
      </c>
      <c r="E2" s="486"/>
      <c r="F2" s="485" t="s">
        <v>179</v>
      </c>
      <c r="G2" s="486"/>
      <c r="H2" s="485" t="s">
        <v>180</v>
      </c>
      <c r="I2" s="486"/>
      <c r="J2" s="485" t="s">
        <v>181</v>
      </c>
      <c r="K2" s="486"/>
    </row>
    <row r="3" spans="1:11" ht="13.9" customHeight="1" x14ac:dyDescent="0.2">
      <c r="A3" s="495"/>
      <c r="B3" s="487"/>
      <c r="C3" s="488"/>
      <c r="D3" s="487"/>
      <c r="E3" s="488"/>
      <c r="F3" s="487"/>
      <c r="G3" s="488"/>
      <c r="H3" s="487"/>
      <c r="I3" s="488"/>
      <c r="J3" s="487"/>
      <c r="K3" s="488"/>
    </row>
    <row r="4" spans="1:11" ht="6.6" customHeight="1" x14ac:dyDescent="0.2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</row>
    <row r="5" spans="1:11" x14ac:dyDescent="0.2">
      <c r="A5" s="184" t="s">
        <v>182</v>
      </c>
      <c r="B5" s="182" t="str">
        <f>(IF(Worksheet!B122=Worksheet!C122,TEXT(Worksheet!C2,"m/d/yy")&amp;" -",TEXT(Worksheet!C2,"m/d/yy")&amp;"-"&amp;TEXT((DATE(YEAR(Worksheet!C2),MONTH(Worksheet!C2)+Worksheet!C6,DAY(Worksheet!C2)-1)),"m/d/yy")))</f>
        <v>10/1/19 -</v>
      </c>
      <c r="C5" s="183" t="str">
        <f>(IF(Worksheet!B122=Worksheet!C122,TEXT(Worksheet!C3,"m/d/yy"),TEXT(Worksheet!C18,"m/d/yy")&amp;"-"&amp;TEXT(Worksheet!C19,"m/d/yy")))</f>
        <v>9/30/20</v>
      </c>
      <c r="D5" s="182" t="str">
        <f>(IF(Worksheet!D122=Worksheet!E122,TEXT(Worksheet!D2,"m/d/yy")&amp;" -",TEXT(Worksheet!D2,"m/d/yy")&amp;"-"&amp;TEXT((DATE(YEAR(Worksheet!D2),MONTH(Worksheet!D2)+Worksheet!D6,DAY(Worksheet!D2)-1)),"m/d/yy")))</f>
        <v>10/1/20 -</v>
      </c>
      <c r="E5" s="183" t="str">
        <f>(IF(Worksheet!D122=Worksheet!E122,TEXT(Worksheet!D3,"m/d/yy"),TEXT(Worksheet!D18,"m/d/yy")&amp;"-"&amp;TEXT(Worksheet!D19,"m/d/yy")))</f>
        <v>9/30/21</v>
      </c>
      <c r="F5" s="182" t="str">
        <f>(IF(Worksheet!F122=Worksheet!G122,TEXT(Worksheet!E2,"m/d/yy")&amp;" -",TEXT(Worksheet!E2,"m/d/yy")&amp;"-"&amp;TEXT((DATE(YEAR(Worksheet!E2),MONTH(Worksheet!E2)+Worksheet!E6,DAY(Worksheet!E2)-1)),"m/d/yy")))</f>
        <v>10/1/21 -</v>
      </c>
      <c r="G5" s="183" t="str">
        <f>(IF(Worksheet!F122=Worksheet!G122,TEXT(Worksheet!E3,"m/d/yy"),TEXT(Worksheet!E18,"m/d/yy")&amp;"-"&amp;TEXT(Worksheet!E19,"m/d/yy")))</f>
        <v>9/30/22</v>
      </c>
      <c r="H5" s="182" t="str">
        <f>(IF(Worksheet!H122=Worksheet!I122,TEXT(Worksheet!F2,"m/d/yy")&amp;" -",TEXT(Worksheet!F2,"m/d/yy")&amp;"-"&amp;TEXT((DATE(YEAR(Worksheet!F2),MONTH(Worksheet!F2)+Worksheet!F6,DAY(Worksheet!F2)-1)),"m/d/yy")))</f>
        <v>10/1/22 -</v>
      </c>
      <c r="I5" s="183" t="str">
        <f>(IF(Worksheet!H122=Worksheet!I122,TEXT(Worksheet!F3,"m/d/yy"),TEXT(Worksheet!F18,"m/d/yy")&amp;"-"&amp;TEXT(Worksheet!F19,"m/d/yy")))</f>
        <v>9/30/23</v>
      </c>
      <c r="J5" s="182" t="str">
        <f>(IF(Worksheet!J122=Worksheet!K122,TEXT(Worksheet!G2,"m/d/yy")&amp;" -",TEXT(Worksheet!G2,"m/d/yy")&amp;"-"&amp;TEXT((DATE(YEAR(Worksheet!G2),MONTH(Worksheet!G2)+Worksheet!G6,DAY(Worksheet!G2)-1)),"m/d/yy")))</f>
        <v>10/1/23 -</v>
      </c>
      <c r="K5" s="183" t="str">
        <f>(IF(Worksheet!J122=Worksheet!K122,TEXT(Worksheet!G3,"m/d/yy"),TEXT(Worksheet!G18,"m/d/yy")&amp;"-"&amp;TEXT(Worksheet!G19,"m/d/yy")))</f>
        <v>9/30/24</v>
      </c>
    </row>
    <row r="6" spans="1:11" x14ac:dyDescent="0.2">
      <c r="A6" s="139" t="str">
        <f>"Base Type: "&amp;IF(Request!H249&lt;&gt;Worksheet!A116,"MTDC",Request!J251)</f>
        <v>Base Type: MTDC</v>
      </c>
      <c r="B6" s="140" t="str">
        <f>IF(Worksheet!B122&lt;&gt;Worksheet!C122,Worksheet!B122,"")</f>
        <v/>
      </c>
      <c r="C6" s="141">
        <f>Worksheet!C122</f>
        <v>0.56999999999999995</v>
      </c>
      <c r="D6" s="140" t="str">
        <f>IF(Worksheet!D122&lt;&gt;Worksheet!E122,Worksheet!D122,"")</f>
        <v/>
      </c>
      <c r="E6" s="141">
        <f>IF(E5="","",Worksheet!E122)</f>
        <v>0.56999999999999995</v>
      </c>
      <c r="F6" s="140" t="str">
        <f>IF(Worksheet!F122&lt;&gt;Worksheet!G122,Worksheet!F122,"")</f>
        <v/>
      </c>
      <c r="G6" s="141">
        <f>IF(G5="","",Worksheet!G122)</f>
        <v>0.56999999999999995</v>
      </c>
      <c r="H6" s="140" t="str">
        <f>IF(Worksheet!H122&lt;&gt;Worksheet!I122,Worksheet!H122,"")</f>
        <v/>
      </c>
      <c r="I6" s="141">
        <f>IF(I5="","",Worksheet!I122)</f>
        <v>0.56999999999999995</v>
      </c>
      <c r="J6" s="140" t="str">
        <f>IF(Worksheet!J122&lt;&gt;Worksheet!K122,Worksheet!J122,"")</f>
        <v/>
      </c>
      <c r="K6" s="141">
        <f>IF(K5="","",Worksheet!K122)</f>
        <v>0.56999999999999995</v>
      </c>
    </row>
    <row r="7" spans="1:11" x14ac:dyDescent="0.2">
      <c r="A7" s="139" t="s">
        <v>183</v>
      </c>
      <c r="B7" s="142" t="str">
        <f>IF(Worksheet!B122&lt;&gt;Worksheet!C122,(ROUND((Request!P249-C9)/Worksheet!C5*Worksheet!C6*Worksheet!B122,0)),"")</f>
        <v/>
      </c>
      <c r="C7" s="143">
        <f ca="1">IF(Worksheet!B122&lt;&gt;Worksheet!C122,ROUND((Request!P249-C9)/Worksheet!C5*Worksheet!C7*Worksheet!C122,0),Request!P249-C9)</f>
        <v>42295</v>
      </c>
      <c r="D7" s="142" t="str">
        <f>IF(Worksheet!D122&lt;&gt;Worksheet!E122,ROUND((Request!Q249-E9)/Worksheet!D5*Worksheet!D6*Worksheet!D122,0),"")</f>
        <v/>
      </c>
      <c r="E7" s="143">
        <f ca="1">IF(E5="","",IF(Worksheet!D122&lt;&gt;Worksheet!E122,ROUND((Request!Q249-E9)/Worksheet!D5*Worksheet!D7*Worksheet!E122,0),Request!Q249-E9))</f>
        <v>43910</v>
      </c>
      <c r="F7" s="142" t="str">
        <f>IF(Worksheet!F122&lt;&gt;Worksheet!G122,ROUND((Request!R249-G9)/Worksheet!E5*Worksheet!E6*Worksheet!F122,0),"")</f>
        <v/>
      </c>
      <c r="G7" s="143">
        <f ca="1">IF(G5="","",IF(Worksheet!F122&lt;&gt;Worksheet!G122,ROUND((Request!R249-G9)/Worksheet!E5*Worksheet!E7*Worksheet!G122,0),Request!R249-G9))</f>
        <v>45585</v>
      </c>
      <c r="H7" s="142" t="str">
        <f>IF(Worksheet!H122&lt;&gt;Worksheet!I122,ROUND((Request!S249-I9)/Worksheet!E5*Worksheet!E6*Worksheet!H122,0),"")</f>
        <v/>
      </c>
      <c r="I7" s="143">
        <f ca="1">IF(I5="","",IF(Worksheet!H122&lt;&gt;Worksheet!I122,ROUND((Request!S249-I9)/Worksheet!F5*Worksheet!F7*Worksheet!I122,0),Request!S249-I9))</f>
        <v>0</v>
      </c>
      <c r="J7" s="142" t="str">
        <f>IF(Worksheet!J122&lt;&gt;Worksheet!K122,ROUND((Request!T249-K9)/Worksheet!E5*Worksheet!E6*Worksheet!J122,0),"")</f>
        <v/>
      </c>
      <c r="K7" s="143">
        <f ca="1">IF(K5="","",IF(Worksheet!J122&lt;&gt;Worksheet!K122,ROUND((Request!T249-K9)/Worksheet!G5*Worksheet!G7*Worksheet!K122,0),Request!T249-K9))</f>
        <v>0</v>
      </c>
    </row>
    <row r="8" spans="1:11" x14ac:dyDescent="0.2">
      <c r="A8" s="144" t="s">
        <v>64</v>
      </c>
      <c r="B8" s="145" t="str">
        <f>IF(Worksheet!B122=Worksheet!C122,"",ROUND(B7*Worksheet!B122,0))</f>
        <v/>
      </c>
      <c r="C8" s="146">
        <f ca="1">IF(Worksheet!B122=Worksheet!C122,Request!P251-'F&amp;A Details'!C10,Request!P251-'F&amp;A Details'!B8-'F&amp;A Details'!C10)</f>
        <v>24108</v>
      </c>
      <c r="D8" s="145" t="str">
        <f>IF(Worksheet!D122=Worksheet!E122,"",ROUND(D7*Worksheet!D122,0))</f>
        <v/>
      </c>
      <c r="E8" s="146">
        <f ca="1">IF(E5="","",IF(Worksheet!D122=Worksheet!E122,Request!Q251-'F&amp;A Details'!E10,Request!Q251-'F&amp;A Details'!D8-'F&amp;A Details'!E10))</f>
        <v>25029</v>
      </c>
      <c r="F8" s="145" t="str">
        <f>IF(Worksheet!F122=Worksheet!G122,"",ROUND(F7*Worksheet!F122,0))</f>
        <v/>
      </c>
      <c r="G8" s="146">
        <f ca="1">IF(G5="","",IF(Worksheet!F122=Worksheet!G122,Request!R251-'F&amp;A Details'!G10,Request!R251-'F&amp;A Details'!F8-'F&amp;A Details'!G10))</f>
        <v>25983</v>
      </c>
      <c r="H8" s="145" t="str">
        <f>IF(Worksheet!H122=Worksheet!I122,"",ROUND(H7*Worksheet!H122,0))</f>
        <v/>
      </c>
      <c r="I8" s="146">
        <f ca="1">IF(I5="","",IF(Worksheet!H122=Worksheet!I122,Request!S251-'F&amp;A Details'!I10,Request!S251-'F&amp;A Details'!H8-'F&amp;A Details'!I10))</f>
        <v>0</v>
      </c>
      <c r="J8" s="145" t="str">
        <f>IF(Worksheet!J122=Worksheet!K122,"",ROUND(J7*Worksheet!J122,0))</f>
        <v/>
      </c>
      <c r="K8" s="146">
        <f ca="1">IF(K5="","",IF(Worksheet!J122=Worksheet!K122,Request!T251-'F&amp;A Details'!K10,Request!T251-'F&amp;A Details'!J8-'F&amp;A Details'!K10))</f>
        <v>0</v>
      </c>
    </row>
    <row r="9" spans="1:11" ht="15" x14ac:dyDescent="0.25">
      <c r="A9" s="147" t="s">
        <v>184</v>
      </c>
      <c r="B9" s="149"/>
      <c r="C9" s="148">
        <f>IF(AND(Request!H249=Worksheet!A116,Request!J251="TC"),ROUND(SUM(Request!P217:P221)/(1-Request!N251),0),SUM(Request!P217:P221))</f>
        <v>0</v>
      </c>
      <c r="D9" s="149"/>
      <c r="E9" s="148">
        <f>IF(E5="","",IF(AND(Request!H249=Worksheet!A116,Request!J251="TC"),ROUND(SUM(Request!Q217:Q221)/(1-Request!N251),0),SUM(Request!Q217:Q221)))</f>
        <v>0</v>
      </c>
      <c r="F9" s="149"/>
      <c r="G9" s="148">
        <f>IF(G5="","",IF(AND(Request!H249=Worksheet!A116,Request!J251="TC"),ROUND(SUM(Request!R217:R221)/(1-Request!N251),0),SUM(Request!R217:R221)))</f>
        <v>0</v>
      </c>
      <c r="H9" s="149"/>
      <c r="I9" s="148">
        <f>IF(I5="","",IF(AND(Request!H249=Worksheet!A116,Request!J251="TC"),ROUND(SUM(Request!S217:S221)/(1-Request!N251),0),SUM(Request!S217:S221)))</f>
        <v>0</v>
      </c>
      <c r="J9" s="149"/>
      <c r="K9" s="148">
        <f>IF(K5="","",IF(AND(Request!H249=Worksheet!A116,Request!J251="TC"),ROUND(SUM(Request!T217:T221)/(1-Request!N251),0),SUM(Request!T217:T221)))</f>
        <v>0</v>
      </c>
    </row>
    <row r="10" spans="1:11" x14ac:dyDescent="0.2">
      <c r="A10" s="144" t="str">
        <f>"Primate Indirect: "&amp;IF(Request!$H$249=Worksheet!A116,'F&amp;A Details'!C6*100&amp;"%",IF(Request!K216="Federal","54.4%","89%"))</f>
        <v>Primate Indirect: 54.4%</v>
      </c>
      <c r="B10" s="150"/>
      <c r="C10" s="151">
        <f>IF(Request!$H$249=Worksheet!$A$116,ROUND(C9*Worksheet!$B$116,0),IF(Request!$K$216="Federal",ROUND(C9*0.544,0),ROUND(C9*0.89,0)))</f>
        <v>0</v>
      </c>
      <c r="D10" s="150"/>
      <c r="E10" s="151">
        <f>IF(E5="","",IF(Request!$H$249=Worksheet!$A$116,ROUND(E9*Worksheet!$B$116,0),IF(Request!$K$216="Federal",ROUND(E9*0.544,0),ROUND(E9*0.89,0))))</f>
        <v>0</v>
      </c>
      <c r="F10" s="150"/>
      <c r="G10" s="151">
        <f>IF(G5="","",IF(Request!$H$249=Worksheet!$A$116,ROUND(G9*Worksheet!$B$116,0),IF(Request!$K$216="Federal",ROUND(G9*0.544,0),ROUND(G9*0.89,0))))</f>
        <v>0</v>
      </c>
      <c r="H10" s="150"/>
      <c r="I10" s="151">
        <f>IF(I5="","",IF(Request!$H$249=Worksheet!$A$116,ROUND(I9*Worksheet!$B$116,0),IF(Request!$K$216="Federal",ROUND(I9*0.544,0),ROUND(I9*0.89,0))))</f>
        <v>0</v>
      </c>
      <c r="J10" s="150"/>
      <c r="K10" s="151">
        <f>IF(K5="","",IF(Request!$H$249=Worksheet!$A$116,ROUND(K9*Worksheet!$B$116,0),IF(Request!$K$216="Federal",ROUND(K9*0.544,0),ROUND(K9*0.89,0))))</f>
        <v>0</v>
      </c>
    </row>
    <row r="11" spans="1:11" ht="15" customHeight="1" x14ac:dyDescent="0.2">
      <c r="A11" s="121" t="s">
        <v>187</v>
      </c>
      <c r="B11" s="152"/>
      <c r="C11" s="153">
        <f ca="1">IF(Worksheet!B122=Worksheet!C122,C8+C10,B8+C8+C10)</f>
        <v>24108</v>
      </c>
      <c r="D11" s="154"/>
      <c r="E11" s="153">
        <f ca="1">IF(E5="","",IF(Worksheet!D122=Worksheet!E122,E8+E10,D8+E8+E10))</f>
        <v>25029</v>
      </c>
      <c r="F11" s="154"/>
      <c r="G11" s="153">
        <f ca="1">IF(G5="","",IF(Worksheet!F122=Worksheet!G122,G8+G10,F8+G8+G10))</f>
        <v>25983</v>
      </c>
      <c r="H11" s="154"/>
      <c r="I11" s="153">
        <f ca="1">IF(I5="","",IF(Worksheet!H122=Worksheet!I122,I8+I10,H8+I8+I10))</f>
        <v>0</v>
      </c>
      <c r="J11" s="154"/>
      <c r="K11" s="153">
        <f ca="1">IF(K5="","",IF(Worksheet!J122=Worksheet!K122,K8+K10,J8+K8+K10))</f>
        <v>0</v>
      </c>
    </row>
    <row r="12" spans="1:11" x14ac:dyDescent="0.2">
      <c r="A12" s="489" t="s">
        <v>186</v>
      </c>
      <c r="B12" s="490"/>
      <c r="C12" s="490"/>
      <c r="D12" s="490"/>
      <c r="E12" s="490"/>
      <c r="F12" s="490"/>
      <c r="G12" s="490"/>
      <c r="H12" s="490"/>
      <c r="I12" s="491"/>
      <c r="J12" s="492">
        <f ca="1">IF(C5&lt;&gt;"",C11,0)+IF(E5&lt;&gt;"",E11,0)+IF(G5&lt;&gt;"",G11,0)+IF(I5&lt;&gt;"",I11,0)+IF(K5&lt;&gt;"",K11,0)</f>
        <v>75120</v>
      </c>
      <c r="K12" s="493"/>
    </row>
    <row r="13" spans="1:11" x14ac:dyDescent="0.2">
      <c r="C13" s="181"/>
    </row>
    <row r="14" spans="1:11" x14ac:dyDescent="0.2">
      <c r="C14" s="181"/>
    </row>
    <row r="15" spans="1:11" x14ac:dyDescent="0.2">
      <c r="C15" s="181"/>
    </row>
  </sheetData>
  <sheetProtection formatCells="0" formatColumns="0" formatRows="0"/>
  <mergeCells count="8">
    <mergeCell ref="J2:K3"/>
    <mergeCell ref="A12:I12"/>
    <mergeCell ref="J12:K12"/>
    <mergeCell ref="A2:A3"/>
    <mergeCell ref="B2:C3"/>
    <mergeCell ref="D2:E3"/>
    <mergeCell ref="F2:G3"/>
    <mergeCell ref="H2:I3"/>
  </mergeCells>
  <conditionalFormatting sqref="C5:C7">
    <cfRule type="expression" dxfId="5" priority="6">
      <formula>$B$6=""</formula>
    </cfRule>
  </conditionalFormatting>
  <conditionalFormatting sqref="D5:D8">
    <cfRule type="expression" dxfId="4" priority="5">
      <formula>$D$6=""</formula>
    </cfRule>
  </conditionalFormatting>
  <conditionalFormatting sqref="F5:F8">
    <cfRule type="expression" dxfId="3" priority="4">
      <formula>$F$6=""</formula>
    </cfRule>
  </conditionalFormatting>
  <conditionalFormatting sqref="H5:H8">
    <cfRule type="expression" dxfId="2" priority="3">
      <formula>$H$6=""</formula>
    </cfRule>
  </conditionalFormatting>
  <conditionalFormatting sqref="J5:J8">
    <cfRule type="expression" dxfId="1" priority="2">
      <formula>$J$6=""</formula>
    </cfRule>
  </conditionalFormatting>
  <conditionalFormatting sqref="B5:B8">
    <cfRule type="expression" dxfId="0" priority="1">
      <formula>$D$6=""</formula>
    </cfRule>
  </conditionalFormatting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4"/>
  <sheetViews>
    <sheetView zoomScaleNormal="100" workbookViewId="0">
      <selection activeCell="T4" sqref="T4"/>
    </sheetView>
  </sheetViews>
  <sheetFormatPr defaultColWidth="8.85546875" defaultRowHeight="15" x14ac:dyDescent="0.25"/>
  <cols>
    <col min="1" max="1" width="3" style="102" bestFit="1" customWidth="1"/>
    <col min="2" max="2" width="18.28515625" style="102" customWidth="1"/>
    <col min="3" max="4" width="8.85546875" style="102"/>
    <col min="5" max="5" width="15.42578125" style="102" customWidth="1"/>
    <col min="6" max="6" width="1.140625" style="102" customWidth="1"/>
    <col min="7" max="7" width="10.7109375" style="102" customWidth="1"/>
    <col min="8" max="8" width="9.7109375" style="102" customWidth="1"/>
    <col min="9" max="9" width="10.42578125" style="102" customWidth="1"/>
    <col min="10" max="10" width="9.42578125" style="102" customWidth="1"/>
    <col min="11" max="11" width="9.7109375" style="102" customWidth="1"/>
    <col min="12" max="12" width="8.85546875" style="102"/>
    <col min="13" max="13" width="11.140625" style="102" customWidth="1"/>
    <col min="14" max="14" width="8.85546875" style="102"/>
    <col min="15" max="15" width="10.85546875" style="102" customWidth="1"/>
    <col min="16" max="16" width="8.85546875" style="102"/>
    <col min="17" max="18" width="9.140625" style="102" customWidth="1"/>
    <col min="19" max="19" width="1.42578125" style="102" customWidth="1"/>
    <col min="20" max="24" width="8.85546875" style="102"/>
    <col min="25" max="25" width="8.85546875" style="105"/>
    <col min="26" max="26" width="1.5703125" style="105" customWidth="1"/>
    <col min="27" max="32" width="8.85546875" style="102" customWidth="1"/>
    <col min="33" max="33" width="1.28515625" style="102" customWidth="1"/>
    <col min="34" max="34" width="19.42578125" style="283" customWidth="1"/>
    <col min="35" max="35" width="18.28515625" style="283" customWidth="1"/>
    <col min="36" max="36" width="19.28515625" style="283" customWidth="1"/>
    <col min="37" max="37" width="17.28515625" style="283" customWidth="1"/>
    <col min="38" max="38" width="16.7109375" style="283" customWidth="1"/>
    <col min="39" max="16384" width="8.85546875" style="102"/>
  </cols>
  <sheetData>
    <row r="1" spans="1:38" ht="55.5" customHeight="1" x14ac:dyDescent="0.25">
      <c r="A1" s="503" t="s">
        <v>151</v>
      </c>
      <c r="B1" s="504"/>
      <c r="C1" s="504"/>
      <c r="D1" s="504"/>
      <c r="E1" s="505"/>
      <c r="G1" s="543" t="s">
        <v>239</v>
      </c>
      <c r="H1" s="544"/>
      <c r="I1" s="545"/>
      <c r="J1" s="545"/>
      <c r="K1" s="545"/>
      <c r="L1" s="545"/>
      <c r="M1" s="545"/>
      <c r="N1" s="545"/>
      <c r="O1" s="545"/>
      <c r="P1" s="545"/>
      <c r="Q1" s="545"/>
      <c r="R1" s="546"/>
      <c r="S1" s="212"/>
      <c r="T1" s="509" t="s">
        <v>240</v>
      </c>
      <c r="U1" s="510"/>
      <c r="V1" s="510"/>
      <c r="W1" s="510"/>
      <c r="X1" s="510"/>
      <c r="Y1" s="511"/>
      <c r="Z1" s="212"/>
      <c r="AA1" s="525" t="s">
        <v>235</v>
      </c>
      <c r="AB1" s="526"/>
      <c r="AC1" s="526"/>
      <c r="AD1" s="526"/>
      <c r="AE1" s="526"/>
      <c r="AF1" s="527"/>
      <c r="AG1" s="279"/>
      <c r="AH1" s="531" t="s">
        <v>152</v>
      </c>
      <c r="AI1" s="532"/>
      <c r="AJ1" s="532"/>
      <c r="AK1" s="532"/>
      <c r="AL1" s="533"/>
    </row>
    <row r="2" spans="1:38" x14ac:dyDescent="0.25">
      <c r="A2" s="506"/>
      <c r="B2" s="507"/>
      <c r="C2" s="507"/>
      <c r="D2" s="507"/>
      <c r="E2" s="508"/>
      <c r="G2" s="537" t="s">
        <v>113</v>
      </c>
      <c r="H2" s="538"/>
      <c r="I2" s="537" t="s">
        <v>114</v>
      </c>
      <c r="J2" s="538"/>
      <c r="K2" s="537" t="s">
        <v>115</v>
      </c>
      <c r="L2" s="538"/>
      <c r="M2" s="537" t="s">
        <v>118</v>
      </c>
      <c r="N2" s="538"/>
      <c r="O2" s="537" t="s">
        <v>116</v>
      </c>
      <c r="P2" s="538"/>
      <c r="Q2" s="539" t="s">
        <v>238</v>
      </c>
      <c r="R2" s="540"/>
      <c r="S2" s="212"/>
      <c r="T2" s="512"/>
      <c r="U2" s="513"/>
      <c r="V2" s="513"/>
      <c r="W2" s="513"/>
      <c r="X2" s="513"/>
      <c r="Y2" s="514"/>
      <c r="Z2" s="212"/>
      <c r="AA2" s="528"/>
      <c r="AB2" s="529"/>
      <c r="AC2" s="529"/>
      <c r="AD2" s="529"/>
      <c r="AE2" s="529"/>
      <c r="AF2" s="530"/>
      <c r="AG2" s="291"/>
      <c r="AH2" s="534"/>
      <c r="AI2" s="535"/>
      <c r="AJ2" s="535"/>
      <c r="AK2" s="535"/>
      <c r="AL2" s="536"/>
    </row>
    <row r="3" spans="1:38" ht="20.25" customHeight="1" x14ac:dyDescent="0.25">
      <c r="A3" s="518" t="str">
        <f>Request!B6</f>
        <v>Name/Role:</v>
      </c>
      <c r="B3" s="519"/>
      <c r="C3" s="523" t="s">
        <v>173</v>
      </c>
      <c r="D3" s="523"/>
      <c r="E3" s="524"/>
      <c r="F3" s="212"/>
      <c r="G3" s="109" t="s">
        <v>244</v>
      </c>
      <c r="H3" s="109" t="s">
        <v>231</v>
      </c>
      <c r="I3" s="109" t="s">
        <v>244</v>
      </c>
      <c r="J3" s="109" t="s">
        <v>231</v>
      </c>
      <c r="K3" s="109" t="s">
        <v>244</v>
      </c>
      <c r="L3" s="109" t="s">
        <v>231</v>
      </c>
      <c r="M3" s="109" t="s">
        <v>244</v>
      </c>
      <c r="N3" s="109" t="s">
        <v>231</v>
      </c>
      <c r="O3" s="109" t="s">
        <v>244</v>
      </c>
      <c r="P3" s="109" t="s">
        <v>231</v>
      </c>
      <c r="Q3" s="541"/>
      <c r="R3" s="542"/>
      <c r="S3" s="212"/>
      <c r="T3" s="107" t="s">
        <v>113</v>
      </c>
      <c r="U3" s="107" t="s">
        <v>114</v>
      </c>
      <c r="V3" s="107" t="s">
        <v>115</v>
      </c>
      <c r="W3" s="107" t="s">
        <v>118</v>
      </c>
      <c r="X3" s="107" t="s">
        <v>116</v>
      </c>
      <c r="Y3" s="107" t="s">
        <v>12</v>
      </c>
      <c r="Z3" s="212"/>
      <c r="AA3" s="274" t="s">
        <v>113</v>
      </c>
      <c r="AB3" s="274" t="s">
        <v>114</v>
      </c>
      <c r="AC3" s="274" t="s">
        <v>115</v>
      </c>
      <c r="AD3" s="274" t="s">
        <v>118</v>
      </c>
      <c r="AE3" s="275" t="s">
        <v>116</v>
      </c>
      <c r="AF3" s="276" t="s">
        <v>11</v>
      </c>
      <c r="AG3" s="280"/>
      <c r="AH3" s="108" t="s">
        <v>113</v>
      </c>
      <c r="AI3" s="108" t="s">
        <v>114</v>
      </c>
      <c r="AJ3" s="108" t="s">
        <v>115</v>
      </c>
      <c r="AK3" s="108" t="s">
        <v>118</v>
      </c>
      <c r="AL3" s="108" t="s">
        <v>116</v>
      </c>
    </row>
    <row r="4" spans="1:38" x14ac:dyDescent="0.25">
      <c r="A4" s="104">
        <f>Request!A8</f>
        <v>1</v>
      </c>
      <c r="B4" s="100" t="str">
        <f>Request!B8</f>
        <v>Jeffries - PI (AY)</v>
      </c>
      <c r="C4" s="100"/>
      <c r="D4" s="101"/>
      <c r="E4" s="202" t="s">
        <v>190</v>
      </c>
      <c r="F4" s="212"/>
      <c r="G4" s="82">
        <f ca="1">IF(Request!M8&lt;&gt;"CAL 12/12",Worksheet!B389,Worksheet!L389)</f>
        <v>134625</v>
      </c>
      <c r="H4" s="82">
        <f ca="1">IF(Request!H8="","",IF(Request!H8=0,"",IF(Request!F8=0,"",IF(Worksheet!$C$5=0,"",IF($Q4&lt;&gt;12,Worksheet!L389-Worksheet!B389,0)))))</f>
        <v>44875</v>
      </c>
      <c r="I4" s="82">
        <f ca="1">IF(Request!$M8&lt;&gt;"CAL 12/12",Worksheet!D389,Worksheet!N389)</f>
        <v>138664</v>
      </c>
      <c r="J4" s="82">
        <f ca="1">IF(Request!I8="","",IF(Request!I8=0,"",IF(Request!F8=0,"",IF(Worksheet!$D$5=0,"",IF(Q4&lt;&gt;12,Worksheet!N389-Worksheet!D389,0)))))</f>
        <v>46221</v>
      </c>
      <c r="K4" s="82">
        <f ca="1">IF(Request!$M8&lt;&gt;"CAL 12/12",Worksheet!F389,Worksheet!P389)</f>
        <v>142824</v>
      </c>
      <c r="L4" s="82">
        <f ca="1">IF(Request!J8="","",IF(Request!J8=0,"",IF(Request!F8=0,"",IF(Worksheet!$E$5=0,"",IF(Q4&lt;&gt;12,Worksheet!P389-Worksheet!F389,0)))))</f>
        <v>47608</v>
      </c>
      <c r="M4" s="82">
        <f ca="1">IF(Request!$M8&lt;&gt;"CAL 12/12",Worksheet!H389,Worksheet!R389)</f>
        <v>147109</v>
      </c>
      <c r="N4" s="82" t="str">
        <f>IF(Request!K8="","",IF(Request!K8=0,"",IF(Request!F8=0,"",IF(Worksheet!$F$5=0,"",IF(Q4&lt;&gt;12,Worksheet!R389-Worksheet!H389,0)))))</f>
        <v/>
      </c>
      <c r="O4" s="82">
        <f ca="1">IF(Request!$M8&lt;&gt;"CAL 12/12",Worksheet!J389,Worksheet!T389)</f>
        <v>151522</v>
      </c>
      <c r="P4" s="82" t="str">
        <f>IF(Request!L8="","",IF(Request!L8=0,"",IF(Request!F8=0,"",IF(Worksheet!$G$5=0,"",IF(Q4&lt;&gt;12,Worksheet!T389-Worksheet!J389,0)))))</f>
        <v/>
      </c>
      <c r="Q4" s="271">
        <f>IF(Request!M8="CAL 12/12",12,IF(Request!M8="AY 9/12",9,IF(Request!M8="AY 11/12",11,IF(Request!M8="SMR 9/12",9,IF(Request!M8="SMR 11/12",11)))))</f>
        <v>9</v>
      </c>
      <c r="R4" s="271" t="s">
        <v>53</v>
      </c>
      <c r="S4" s="212"/>
      <c r="T4" s="295">
        <f ca="1">IF(AND(G4=0,Request!$G8&lt;&gt;0),"Add Base Sal",IF('Personnel Reference'!G4=0,0,Request!P8/(G4/$Q4)))</f>
        <v>1.7999999999999998</v>
      </c>
      <c r="U4" s="103">
        <f ca="1">IF(AND(I4=0,Request!$G8&lt;&gt;0),"Add Base Sal",IF('Personnel Reference'!I4=0,0,IF(I4="","",Request!Q8/(I4/$Q4))))</f>
        <v>1.8000129810188656</v>
      </c>
      <c r="V4" s="103">
        <f ca="1">IF(AND(K4=0,Request!$G8&lt;&gt;0),"Add Base Sal",IF('Personnel Reference'!K4=0,0,IF(K4="","",Request!R8/(K4/$Q4))))</f>
        <v>1.8000126029238783</v>
      </c>
      <c r="W4" s="103">
        <f ca="1">IF(AND(M4=0,Request!$G8&lt;&gt;0),"Add Base Sal",IF('Personnel Reference'!M4=0,0,IF(M4="","",Request!S8/(M4/$Q4))))</f>
        <v>0</v>
      </c>
      <c r="X4" s="103">
        <f ca="1">IF(AND(O4=0,Request!$G8&lt;&gt;0),"Add Base Sal",IF('Personnel Reference'!O4=0,0,IF(O4="","",Request!T8/(O4/$Q4))))</f>
        <v>0</v>
      </c>
      <c r="Y4" s="285" t="str">
        <f>IF(Request!M8="CAL 12/12","CAL",IF(Request!M8="AY 9/12","AY",IF(Request!M8="AY 11/12","AY",IF(Request!M8="SMR 9/12","SMR",IF(Request!M8="SMR 11/12","SMR")))))</f>
        <v>AY</v>
      </c>
      <c r="Z4" s="212"/>
      <c r="AA4" s="82">
        <f ca="1">Request!P8+Request!P36</f>
        <v>37345</v>
      </c>
      <c r="AB4" s="82">
        <f ca="1">Request!Q8+Request!Q36</f>
        <v>38798</v>
      </c>
      <c r="AC4" s="82">
        <f ca="1">Request!R8+Request!R36</f>
        <v>40305</v>
      </c>
      <c r="AD4" s="82">
        <f ca="1">Request!S8+Request!S36</f>
        <v>0</v>
      </c>
      <c r="AE4" s="82">
        <f ca="1">Request!T8+Request!T36</f>
        <v>0</v>
      </c>
      <c r="AF4" s="284">
        <f ca="1">SUM(AA4:AE4)</f>
        <v>116448</v>
      </c>
      <c r="AG4" s="277"/>
      <c r="AH4" s="281" t="str">
        <f ca="1">IF(G4="","",IF(Worksheet!$L279="D","n/a",IF(Worksheet!B$308=Worksheet!C$308,"("&amp;ROUND(Worksheet!B309+Worksheet!C309,2)&amp;")"&amp;ROUND(Worksheet!B$308*100,2),"("&amp;ROUND(Worksheet!B309,2)&amp;")"&amp;ROUND(Worksheet!B$308*100,2)&amp;"/ ("&amp;ROUND(Worksheet!C309,2)&amp;")"&amp;ROUND(Worksheet!C$308*100,2))))</f>
        <v>n/a</v>
      </c>
      <c r="AI4" s="281" t="str">
        <f ca="1">IF(I4="","",IF(Worksheet!$L279="D","n/a",IF(Worksheet!D$308=Worksheet!E$308,"("&amp;ROUND(Worksheet!D309+Worksheet!E309,2)&amp;")"&amp;ROUND(Worksheet!D$308*100,2),"("&amp;ROUND(Worksheet!D309,2)&amp;")"&amp;ROUND(Worksheet!D$308*100,2)&amp;"/ ("&amp;ROUND(Worksheet!E309,2)&amp;")"&amp;ROUND(Worksheet!E$308*100,2))))</f>
        <v>n/a</v>
      </c>
      <c r="AJ4" s="281" t="str">
        <f ca="1">IF(K4="","",IF(Worksheet!$L279="D","n/a",IF(Worksheet!F$308=Worksheet!G$308,"("&amp;ROUND(Worksheet!F309+Worksheet!G309,2)&amp;")"&amp;ROUND(Worksheet!F$308*100,2),"("&amp;ROUND(Worksheet!F309,2)&amp;")"&amp;ROUND(Worksheet!F$308*100,2)&amp;"/ ("&amp;ROUND(Worksheet!G309,2)&amp;")"&amp;ROUND(Worksheet!G$308*100,2))))</f>
        <v>n/a</v>
      </c>
      <c r="AK4" s="281" t="str">
        <f ca="1">IF(M4="","",IF(Worksheet!$L279="D","n/a",IF(Worksheet!H$308=Worksheet!I$308,"("&amp;ROUND(Worksheet!H309+Worksheet!I309,2)&amp;")"&amp;ROUND(Worksheet!H$308*100,2),"("&amp;ROUND(Worksheet!H309,2)&amp;")"&amp;ROUND(Worksheet!H$308*100,2)&amp;"/ ("&amp;ROUND(Worksheet!I309,2)&amp;")"&amp;ROUND(Worksheet!I$308*100,2))))</f>
        <v>n/a</v>
      </c>
      <c r="AL4" s="281" t="str">
        <f ca="1">IF(O4="","",IF(Worksheet!$L279="D","n/a",IF(Worksheet!J$308=Worksheet!K$308,"("&amp;ROUND(Worksheet!J309+Worksheet!K309,2)&amp;")"&amp;ROUND(Worksheet!J$308*100,2),"("&amp;ROUND(Worksheet!J309,2)&amp;")"&amp;ROUND(Worksheet!J$308*100,2)&amp;"/ ("&amp;ROUND(Worksheet!K309,2)&amp;")"&amp;ROUND(Worksheet!K$308*100,2))))</f>
        <v>n/a</v>
      </c>
    </row>
    <row r="5" spans="1:38" x14ac:dyDescent="0.25">
      <c r="A5" s="104">
        <f>Request!A9</f>
        <v>2</v>
      </c>
      <c r="B5" s="100" t="str">
        <f>Request!B9</f>
        <v>Jeffries - PI (Summer)</v>
      </c>
      <c r="C5" s="100"/>
      <c r="D5" s="95"/>
      <c r="E5" s="202" t="s">
        <v>190</v>
      </c>
      <c r="F5" s="212"/>
      <c r="G5" s="82">
        <f ca="1">IF(Request!M9&lt;&gt;"CAL 12/12",Worksheet!B390,Worksheet!L390)</f>
        <v>134625</v>
      </c>
      <c r="H5" s="82">
        <f ca="1">IF(Request!H9="","",IF(Request!H9=0,"",IF(Request!F9=0,"",IF(Worksheet!$C$5=0,"",IF($Q5&lt;&gt;12,Worksheet!L390-Worksheet!B390,0)))))</f>
        <v>44875</v>
      </c>
      <c r="I5" s="82">
        <f ca="1">IF(Request!$M9&lt;&gt;"CAL 12/12",Worksheet!D390,Worksheet!N390)</f>
        <v>138664</v>
      </c>
      <c r="J5" s="82">
        <f ca="1">IF(Request!I9="","",IF(Request!I9=0,"",IF(Request!F9=0,"",IF(Worksheet!$D$5=0,"",IF(Q5&lt;&gt;12,Worksheet!N390-Worksheet!D390,0)))))</f>
        <v>46221</v>
      </c>
      <c r="K5" s="82">
        <f ca="1">IF(Request!$M9&lt;&gt;"CAL 12/12",Worksheet!F390,Worksheet!P390)</f>
        <v>142824</v>
      </c>
      <c r="L5" s="82">
        <f ca="1">IF(Request!J9="","",IF(Request!J9=0,"",IF(Request!F9=0,"",IF(Worksheet!$E$5=0,"",IF(Q5&lt;&gt;12,Worksheet!P390-Worksheet!F390,0)))))</f>
        <v>47608</v>
      </c>
      <c r="M5" s="82">
        <f ca="1">IF(Request!$M9&lt;&gt;"CAL 12/12",Worksheet!H390,Worksheet!R390)</f>
        <v>147109</v>
      </c>
      <c r="N5" s="82" t="str">
        <f>IF(Request!K9="","",IF(Request!K9=0,"",IF(Request!F9=0,"",IF(Worksheet!$F$5=0,"",IF(Q5&lt;&gt;12,Worksheet!R390-Worksheet!H390,0)))))</f>
        <v/>
      </c>
      <c r="O5" s="82">
        <f ca="1">IF(Request!$M9&lt;&gt;"CAL 12/12",Worksheet!J390,Worksheet!T390)</f>
        <v>151522</v>
      </c>
      <c r="P5" s="82" t="str">
        <f>IF(Request!L9="","",IF(Request!L9=0,"",IF(Request!F9=0,"",IF(Worksheet!$G$5=0,"",IF(Q5&lt;&gt;12,Worksheet!T390-Worksheet!J390,0)))))</f>
        <v/>
      </c>
      <c r="Q5" s="271">
        <f>IF(Request!M9="CAL 12/12",12,IF(Request!M9="AY 9/12",9,IF(Request!M9="AY 11/12",11,IF(Request!M9="SMR 9/12",9,IF(Request!M9="SMR 11/12",11)))))</f>
        <v>9</v>
      </c>
      <c r="R5" s="271" t="s">
        <v>53</v>
      </c>
      <c r="S5" s="212"/>
      <c r="T5" s="103">
        <f ca="1">IF(AND(G5=0,Request!$G9&lt;&gt;0),"Add Base Sal",IF('Personnel Reference'!G5=0,0,Request!P9/(G5/$Q5)))</f>
        <v>0.30003342618384399</v>
      </c>
      <c r="U5" s="103">
        <f ca="1">IF(AND(I5=0,Request!$G9&lt;&gt;0),"Add Base Sal",IF('Personnel Reference'!I5=0,0,IF(I5="","",Request!Q9/(I5/$Q5))))</f>
        <v>0.29999134598742283</v>
      </c>
      <c r="V5" s="103">
        <f ca="1">IF(AND(K5=0,Request!$G9&lt;&gt;0),"Add Base Sal",IF('Personnel Reference'!K5=0,0,IF(K5="","",Request!R9/(K5/$Q5))))</f>
        <v>0.30001260292387832</v>
      </c>
      <c r="W5" s="103">
        <f ca="1">IF(AND(M5=0,Request!$G9&lt;&gt;0),"Add Base Sal",IF('Personnel Reference'!M5=0,0,IF(M5="","",Request!S9/(M5/$Q5))))</f>
        <v>0</v>
      </c>
      <c r="X5" s="103">
        <f ca="1">IF(AND(O5=0,Request!$G9&lt;&gt;0),"Add Base Sal",IF('Personnel Reference'!O5=0,0,IF(O5="","",Request!T9/(O5/$Q5))))</f>
        <v>0</v>
      </c>
      <c r="Y5" s="285" t="str">
        <f>IF(Request!M9="CAL 12/12","CAL",IF(Request!M9="AY 9/12","AY",IF(Request!M9="AY 11/12","AY",IF(Request!M9="SMR 9/12","SMR",IF(Request!M9="SMR 11/12","SMR")))))</f>
        <v>SMR</v>
      </c>
      <c r="Z5" s="212"/>
      <c r="AA5" s="82">
        <f ca="1">Request!P9+Request!P37</f>
        <v>4950</v>
      </c>
      <c r="AB5" s="82">
        <f ca="1">Request!Q9+Request!Q37</f>
        <v>5112</v>
      </c>
      <c r="AC5" s="82">
        <f ca="1">Request!R9+Request!R37</f>
        <v>5280</v>
      </c>
      <c r="AD5" s="82">
        <f ca="1">Request!S9+Request!S37</f>
        <v>0</v>
      </c>
      <c r="AE5" s="82">
        <f ca="1">Request!T9+Request!T37</f>
        <v>0</v>
      </c>
      <c r="AF5" s="284">
        <f t="shared" ref="AF5:AF27" ca="1" si="0">SUM(AA5:AE5)</f>
        <v>15342</v>
      </c>
      <c r="AG5" s="277"/>
      <c r="AH5" s="281" t="str">
        <f ca="1">IF(G5="","",IF(Worksheet!$L280="D","n/a",IF(Worksheet!B$308=Worksheet!C$308,"("&amp;ROUND(Worksheet!B310+Worksheet!C310,2)&amp;")"&amp;ROUND(Worksheet!B$308*100,2),"("&amp;ROUND(Worksheet!B310,2)&amp;")"&amp;ROUND(Worksheet!B$308*100,2)&amp;"/ ("&amp;ROUND(Worksheet!C310,2)&amp;")"&amp;ROUND(Worksheet!C$308*100,2))))</f>
        <v>(0.3)10.3/ (0)10.6</v>
      </c>
      <c r="AI5" s="281" t="str">
        <f ca="1">IF(I5="","",IF(Worksheet!$L280="D","n/a",IF(Worksheet!D$308=Worksheet!E$308,"("&amp;ROUND(Worksheet!D310+Worksheet!E310,2)&amp;")"&amp;ROUND(Worksheet!D$308*100,2),"("&amp;ROUND(Worksheet!D310,2)&amp;")"&amp;ROUND(Worksheet!D$308*100,2)&amp;"/ ("&amp;ROUND(Worksheet!E310,2)&amp;")"&amp;ROUND(Worksheet!E$308*100,2))))</f>
        <v>(0.3)10.6/ (0)10.9</v>
      </c>
      <c r="AJ5" s="281" t="str">
        <f ca="1">IF(K5="","",IF(Worksheet!$L280="D","n/a",IF(Worksheet!F$308=Worksheet!G$308,"("&amp;ROUND(Worksheet!F310+Worksheet!G310,2)&amp;")"&amp;ROUND(Worksheet!F$308*100,2),"("&amp;ROUND(Worksheet!F310,2)&amp;")"&amp;ROUND(Worksheet!F$308*100,2)&amp;"/ ("&amp;ROUND(Worksheet!G310,2)&amp;")"&amp;ROUND(Worksheet!G$308*100,2))))</f>
        <v>(0.3)10.9/ (0)11.2</v>
      </c>
      <c r="AK5" s="281" t="str">
        <f ca="1">IF(M5="","",IF(Worksheet!$L280="D","n/a",IF(Worksheet!H$308=Worksheet!I$308,"("&amp;ROUND(Worksheet!H310+Worksheet!I310,2)&amp;")"&amp;ROUND(Worksheet!H$308*100,2),"("&amp;ROUND(Worksheet!H310,2)&amp;")"&amp;ROUND(Worksheet!H$308*100,2)&amp;"/ ("&amp;ROUND(Worksheet!I310,2)&amp;")"&amp;ROUND(Worksheet!I$308*100,2))))</f>
        <v>(0)11.2/ (0)11.5</v>
      </c>
      <c r="AL5" s="281" t="str">
        <f ca="1">IF(O5="","",IF(Worksheet!$L280="D","n/a",IF(Worksheet!J$308=Worksheet!K$308,"("&amp;ROUND(Worksheet!J310+Worksheet!K310,2)&amp;")"&amp;ROUND(Worksheet!J$308*100,2),"("&amp;ROUND(Worksheet!J310,2)&amp;")"&amp;ROUND(Worksheet!J$308*100,2)&amp;"/ ("&amp;ROUND(Worksheet!K310,2)&amp;")"&amp;ROUND(Worksheet!K$308*100,2))))</f>
        <v>(0)11.5/ (0)11.8</v>
      </c>
    </row>
    <row r="6" spans="1:38" x14ac:dyDescent="0.25">
      <c r="A6" s="104">
        <f>Request!A10</f>
        <v>3</v>
      </c>
      <c r="B6" s="100">
        <f>Request!B10</f>
        <v>0</v>
      </c>
      <c r="C6" s="100"/>
      <c r="D6" s="101"/>
      <c r="E6" s="202" t="s">
        <v>190</v>
      </c>
      <c r="F6" s="212"/>
      <c r="G6" s="82">
        <f ca="1">IF(Request!M10&lt;&gt;"CAL 12/12",Worksheet!B391,Worksheet!L391)</f>
        <v>0</v>
      </c>
      <c r="H6" s="82" t="str">
        <f>IF(Request!H10="","",IF(Request!H10=0,"",IF(Request!F10=0,"",IF(Worksheet!$C$5=0,"",IF($Q6&lt;&gt;12,Worksheet!L391-Worksheet!B391,0)))))</f>
        <v/>
      </c>
      <c r="I6" s="82">
        <f ca="1">IF(Request!$M10&lt;&gt;"CAL 12/12",Worksheet!D391,Worksheet!N391)</f>
        <v>0</v>
      </c>
      <c r="J6" s="82" t="str">
        <f>IF(Request!I10="","",IF(Request!I10=0,"",IF(Request!F10=0,"",IF(Worksheet!$D$5=0,"",IF(Q6&lt;&gt;12,Worksheet!N391-Worksheet!D391,0)))))</f>
        <v/>
      </c>
      <c r="K6" s="82">
        <f ca="1">IF(Request!$M10&lt;&gt;"CAL 12/12",Worksheet!F391,Worksheet!P391)</f>
        <v>0</v>
      </c>
      <c r="L6" s="82" t="str">
        <f>IF(Request!J10="","",IF(Request!J10=0,"",IF(Request!F10=0,"",IF(Worksheet!$E$5=0,"",IF(Q6&lt;&gt;12,Worksheet!P391-Worksheet!F391,0)))))</f>
        <v/>
      </c>
      <c r="M6" s="82">
        <f ca="1">IF(Request!$M10&lt;&gt;"CAL 12/12",Worksheet!H391,Worksheet!R391)</f>
        <v>0</v>
      </c>
      <c r="N6" s="82" t="str">
        <f>IF(Request!K10="","",IF(Request!K10=0,"",IF(Request!F10=0,"",IF(Worksheet!$F$5=0,"",IF(Q6&lt;&gt;12,Worksheet!R391-Worksheet!H391,0)))))</f>
        <v/>
      </c>
      <c r="O6" s="82">
        <f ca="1">IF(Request!$M10&lt;&gt;"CAL 12/12",Worksheet!J391,Worksheet!T391)</f>
        <v>0</v>
      </c>
      <c r="P6" s="82" t="str">
        <f>IF(Request!L10="","",IF(Request!L10=0,"",IF(Request!F10=0,"",IF(Worksheet!$G$5=0,"",IF(Q6&lt;&gt;12,Worksheet!T391-Worksheet!J391,0)))))</f>
        <v/>
      </c>
      <c r="Q6" s="271">
        <f>IF(Request!M10="CAL 12/12",12,IF(Request!M10="AY 9/12",9,IF(Request!M10="AY 11/12",11,IF(Request!M10="SMR 9/12",9,IF(Request!M10="SMR 11/12",11)))))</f>
        <v>12</v>
      </c>
      <c r="R6" s="271" t="s">
        <v>53</v>
      </c>
      <c r="S6" s="212"/>
      <c r="T6" s="103">
        <f ca="1">IF(AND(G6=0,Request!$G10&lt;&gt;0),"Add Base Sal",IF('Personnel Reference'!G6=0,0,Request!P10/(G6/$Q6)))</f>
        <v>0</v>
      </c>
      <c r="U6" s="103">
        <f ca="1">IF(AND(I6=0,Request!$G10&lt;&gt;0),"Add Base Sal",IF('Personnel Reference'!I6=0,0,IF(I6="","",Request!Q10/(I6/$Q6))))</f>
        <v>0</v>
      </c>
      <c r="V6" s="103">
        <f ca="1">IF(AND(K6=0,Request!$G10&lt;&gt;0),"Add Base Sal",IF('Personnel Reference'!K6=0,0,IF(K6="","",Request!R10/(K6/$Q6))))</f>
        <v>0</v>
      </c>
      <c r="W6" s="103">
        <f ca="1">IF(AND(M6=0,Request!$G10&lt;&gt;0),"Add Base Sal",IF('Personnel Reference'!M6=0,0,IF(M6="","",Request!S10/(M6/$Q6))))</f>
        <v>0</v>
      </c>
      <c r="X6" s="103">
        <f ca="1">IF(AND(O6=0,Request!$G10&lt;&gt;0),"Add Base Sal",IF('Personnel Reference'!O6=0,0,IF(O6="","",Request!T10/(O6/$Q6))))</f>
        <v>0</v>
      </c>
      <c r="Y6" s="285" t="str">
        <f>IF(Request!M10="CAL 12/12","CAL",IF(Request!M10="AY 9/12","AY",IF(Request!M10="AY 11/12","AY",IF(Request!M10="SMR 9/12","SMR",IF(Request!M10="SMR 11/12","SMR")))))</f>
        <v>CAL</v>
      </c>
      <c r="Z6" s="212"/>
      <c r="AA6" s="82">
        <f ca="1">Request!P10+Request!P38</f>
        <v>0</v>
      </c>
      <c r="AB6" s="82">
        <f ca="1">Request!Q10+Request!Q38</f>
        <v>0</v>
      </c>
      <c r="AC6" s="82">
        <f ca="1">Request!R10+Request!R38</f>
        <v>0</v>
      </c>
      <c r="AD6" s="82">
        <f ca="1">Request!S10+Request!S38</f>
        <v>0</v>
      </c>
      <c r="AE6" s="82">
        <f ca="1">Request!T10+Request!T38</f>
        <v>0</v>
      </c>
      <c r="AF6" s="284">
        <f t="shared" ca="1" si="0"/>
        <v>0</v>
      </c>
      <c r="AG6" s="277"/>
      <c r="AH6" s="281" t="str">
        <f ca="1">IF(G6="","",IF(Worksheet!$L281="D","n/a",IF(Worksheet!B$308=Worksheet!C$308,"("&amp;ROUND(Worksheet!B311+Worksheet!C311,2)&amp;")"&amp;ROUND(Worksheet!B$308*100,2),"("&amp;ROUND(Worksheet!B311,2)&amp;")"&amp;ROUND(Worksheet!B$308*100,2)&amp;"/ ("&amp;ROUND(Worksheet!C311,2)&amp;")"&amp;ROUND(Worksheet!C$308*100,2))))</f>
        <v>n/a</v>
      </c>
      <c r="AI6" s="281" t="str">
        <f ca="1">IF(I6="","",IF(Worksheet!$L281="D","n/a",IF(Worksheet!D$308=Worksheet!E$308,"("&amp;ROUND(Worksheet!D311+Worksheet!E311,2)&amp;")"&amp;ROUND(Worksheet!D$308*100,2),"("&amp;ROUND(Worksheet!D311,2)&amp;")"&amp;ROUND(Worksheet!D$308*100,2)&amp;"/ ("&amp;ROUND(Worksheet!E311,2)&amp;")"&amp;ROUND(Worksheet!E$308*100,2))))</f>
        <v>n/a</v>
      </c>
      <c r="AJ6" s="281" t="str">
        <f ca="1">IF(K6="","",IF(Worksheet!$L281="D","n/a",IF(Worksheet!F$308=Worksheet!G$308,"("&amp;ROUND(Worksheet!F311+Worksheet!G311,2)&amp;")"&amp;ROUND(Worksheet!F$308*100,2),"("&amp;ROUND(Worksheet!F311,2)&amp;")"&amp;ROUND(Worksheet!F$308*100,2)&amp;"/ ("&amp;ROUND(Worksheet!G311,2)&amp;")"&amp;ROUND(Worksheet!G$308*100,2))))</f>
        <v>n/a</v>
      </c>
      <c r="AK6" s="281" t="str">
        <f ca="1">IF(M6="","",IF(Worksheet!$L281="D","n/a",IF(Worksheet!H$308=Worksheet!I$308,"("&amp;ROUND(Worksheet!H311+Worksheet!I311,2)&amp;")"&amp;ROUND(Worksheet!H$308*100,2),"("&amp;ROUND(Worksheet!H311,2)&amp;")"&amp;ROUND(Worksheet!H$308*100,2)&amp;"/ ("&amp;ROUND(Worksheet!I311,2)&amp;")"&amp;ROUND(Worksheet!I$308*100,2))))</f>
        <v>n/a</v>
      </c>
      <c r="AL6" s="281" t="str">
        <f ca="1">IF(O6="","",IF(Worksheet!$L281="D","n/a",IF(Worksheet!J$308=Worksheet!K$308,"("&amp;ROUND(Worksheet!J311+Worksheet!K311,2)&amp;")"&amp;ROUND(Worksheet!J$308*100,2),"("&amp;ROUND(Worksheet!J311,2)&amp;")"&amp;ROUND(Worksheet!J$308*100,2)&amp;"/ ("&amp;ROUND(Worksheet!K311,2)&amp;")"&amp;ROUND(Worksheet!K$308*100,2))))</f>
        <v>n/a</v>
      </c>
    </row>
    <row r="7" spans="1:38" x14ac:dyDescent="0.25">
      <c r="A7" s="104">
        <f>Request!A11</f>
        <v>4</v>
      </c>
      <c r="B7" s="100">
        <f>Request!B11</f>
        <v>0</v>
      </c>
      <c r="C7" s="100"/>
      <c r="D7" s="101"/>
      <c r="E7" s="202" t="s">
        <v>190</v>
      </c>
      <c r="F7" s="212"/>
      <c r="G7" s="82">
        <f ca="1">IF(Request!M11&lt;&gt;"CAL 12/12",Worksheet!B392,Worksheet!L392)</f>
        <v>0</v>
      </c>
      <c r="H7" s="82" t="str">
        <f>IF(Request!H11="","",IF(Request!H11=0,"",IF(Request!F11=0,"",IF(Worksheet!$C$5=0,"",IF($Q7&lt;&gt;12,Worksheet!L392-Worksheet!B392,0)))))</f>
        <v/>
      </c>
      <c r="I7" s="82">
        <f ca="1">IF(Request!$M11&lt;&gt;"CAL 12/12",Worksheet!D392,Worksheet!N392)</f>
        <v>0</v>
      </c>
      <c r="J7" s="82" t="str">
        <f>IF(Request!I11="","",IF(Request!I11=0,"",IF(Request!F11=0,"",IF(Worksheet!$D$5=0,"",IF(Q7&lt;&gt;12,Worksheet!N392-Worksheet!D392,0)))))</f>
        <v/>
      </c>
      <c r="K7" s="82">
        <f ca="1">IF(Request!$M11&lt;&gt;"CAL 12/12",Worksheet!F392,Worksheet!P392)</f>
        <v>0</v>
      </c>
      <c r="L7" s="82" t="str">
        <f>IF(Request!J11="","",IF(Request!J11=0,"",IF(Request!F11=0,"",IF(Worksheet!$E$5=0,"",IF(Q7&lt;&gt;12,Worksheet!P392-Worksheet!F392,0)))))</f>
        <v/>
      </c>
      <c r="M7" s="82">
        <f ca="1">IF(Request!$M11&lt;&gt;"CAL 12/12",Worksheet!H392,Worksheet!R392)</f>
        <v>0</v>
      </c>
      <c r="N7" s="82" t="str">
        <f>IF(Request!K11="","",IF(Request!K11=0,"",IF(Request!F11=0,"",IF(Worksheet!$F$5=0,"",IF(Q7&lt;&gt;12,Worksheet!R392-Worksheet!H392,0)))))</f>
        <v/>
      </c>
      <c r="O7" s="82">
        <f ca="1">IF(Request!$M11&lt;&gt;"CAL 12/12",Worksheet!J392,Worksheet!T392)</f>
        <v>0</v>
      </c>
      <c r="P7" s="82" t="str">
        <f>IF(Request!L11="","",IF(Request!L11=0,"",IF(Request!F11=0,"",IF(Worksheet!$G$5=0,"",IF(Q7&lt;&gt;12,Worksheet!T392-Worksheet!J392,0)))))</f>
        <v/>
      </c>
      <c r="Q7" s="271">
        <f>IF(Request!M11="CAL 12/12",12,IF(Request!M11="AY 9/12",9,IF(Request!M11="AY 11/12",11,IF(Request!M11="SMR 9/12",9,IF(Request!M11="SMR 11/12",11)))))</f>
        <v>12</v>
      </c>
      <c r="R7" s="271" t="s">
        <v>53</v>
      </c>
      <c r="S7" s="212"/>
      <c r="T7" s="103">
        <f ca="1">IF(AND(G7=0,Request!$G11&lt;&gt;0),"Add Base Sal",IF('Personnel Reference'!G7=0,0,Request!P11/(G7/$Q7)))</f>
        <v>0</v>
      </c>
      <c r="U7" s="103">
        <f ca="1">IF(AND(I7=0,Request!$G11&lt;&gt;0),"Add Base Sal",IF('Personnel Reference'!I7=0,0,IF(I7="","",Request!Q11/(I7/$Q7))))</f>
        <v>0</v>
      </c>
      <c r="V7" s="103">
        <f ca="1">IF(AND(K7=0,Request!$G11&lt;&gt;0),"Add Base Sal",IF('Personnel Reference'!K7=0,0,IF(K7="","",Request!R11/(K7/$Q7))))</f>
        <v>0</v>
      </c>
      <c r="W7" s="103">
        <f ca="1">IF(AND(M7=0,Request!$G11&lt;&gt;0),"Add Base Sal",IF('Personnel Reference'!M7=0,0,IF(M7="","",Request!S11/(M7/$Q7))))</f>
        <v>0</v>
      </c>
      <c r="X7" s="103">
        <f ca="1">IF(AND(O7=0,Request!$G11&lt;&gt;0),"Add Base Sal",IF('Personnel Reference'!O7=0,0,IF(O7="","",Request!T11/(O7/$Q7))))</f>
        <v>0</v>
      </c>
      <c r="Y7" s="285" t="str">
        <f>IF(Request!M11="CAL 12/12","CAL",IF(Request!M11="AY 9/12","AY",IF(Request!M11="AY 11/12","AY",IF(Request!M11="SMR 9/12","SMR",IF(Request!M11="SMR 11/12","SMR")))))</f>
        <v>CAL</v>
      </c>
      <c r="Z7" s="212"/>
      <c r="AA7" s="82">
        <f ca="1">Request!P11+Request!P39</f>
        <v>0</v>
      </c>
      <c r="AB7" s="82">
        <f ca="1">Request!Q11+Request!Q39</f>
        <v>0</v>
      </c>
      <c r="AC7" s="82">
        <f ca="1">Request!R11+Request!R39</f>
        <v>0</v>
      </c>
      <c r="AD7" s="82">
        <f ca="1">Request!S11+Request!S39</f>
        <v>0</v>
      </c>
      <c r="AE7" s="82">
        <f ca="1">Request!T11+Request!T39</f>
        <v>0</v>
      </c>
      <c r="AF7" s="284">
        <f t="shared" ca="1" si="0"/>
        <v>0</v>
      </c>
      <c r="AG7" s="277"/>
      <c r="AH7" s="281" t="str">
        <f ca="1">IF(G7="","",IF(Worksheet!$L282="D","n/a",IF(Worksheet!B$308=Worksheet!C$308,"("&amp;ROUND(Worksheet!B312+Worksheet!C312,2)&amp;")"&amp;ROUND(Worksheet!B$308*100,2),"("&amp;ROUND(Worksheet!B312,2)&amp;")"&amp;ROUND(Worksheet!B$308*100,2)&amp;"/ ("&amp;ROUND(Worksheet!C312,2)&amp;")"&amp;ROUND(Worksheet!C$308*100,2))))</f>
        <v>n/a</v>
      </c>
      <c r="AI7" s="281" t="str">
        <f ca="1">IF(I7="","",IF(Worksheet!$L282="D","n/a",IF(Worksheet!D$308=Worksheet!E$308,"("&amp;ROUND(Worksheet!D312+Worksheet!E312,2)&amp;")"&amp;ROUND(Worksheet!D$308*100,2),"("&amp;ROUND(Worksheet!D312,2)&amp;")"&amp;ROUND(Worksheet!D$308*100,2)&amp;"/ ("&amp;ROUND(Worksheet!E312,2)&amp;")"&amp;ROUND(Worksheet!E$308*100,2))))</f>
        <v>n/a</v>
      </c>
      <c r="AJ7" s="281" t="str">
        <f ca="1">IF(K7="","",IF(Worksheet!$L282="D","n/a",IF(Worksheet!F$308=Worksheet!G$308,"("&amp;ROUND(Worksheet!F312+Worksheet!G312,2)&amp;")"&amp;ROUND(Worksheet!F$308*100,2),"("&amp;ROUND(Worksheet!F312,2)&amp;")"&amp;ROUND(Worksheet!F$308*100,2)&amp;"/ ("&amp;ROUND(Worksheet!G312,2)&amp;")"&amp;ROUND(Worksheet!G$308*100,2))))</f>
        <v>n/a</v>
      </c>
      <c r="AK7" s="281" t="str">
        <f ca="1">IF(M7="","",IF(Worksheet!$L282="D","n/a",IF(Worksheet!H$308=Worksheet!I$308,"("&amp;ROUND(Worksheet!H312+Worksheet!I312,2)&amp;")"&amp;ROUND(Worksheet!H$308*100,2),"("&amp;ROUND(Worksheet!H312,2)&amp;")"&amp;ROUND(Worksheet!H$308*100,2)&amp;"/ ("&amp;ROUND(Worksheet!I312,2)&amp;")"&amp;ROUND(Worksheet!I$308*100,2))))</f>
        <v>n/a</v>
      </c>
      <c r="AL7" s="281" t="str">
        <f ca="1">IF(O7="","",IF(Worksheet!$L282="D","n/a",IF(Worksheet!J$308=Worksheet!K$308,"("&amp;ROUND(Worksheet!J312+Worksheet!K312,2)&amp;")"&amp;ROUND(Worksheet!J$308*100,2),"("&amp;ROUND(Worksheet!J312,2)&amp;")"&amp;ROUND(Worksheet!J$308*100,2)&amp;"/ ("&amp;ROUND(Worksheet!K312,2)&amp;")"&amp;ROUND(Worksheet!K$308*100,2))))</f>
        <v>n/a</v>
      </c>
    </row>
    <row r="8" spans="1:38" x14ac:dyDescent="0.25">
      <c r="A8" s="104">
        <f>Request!A12</f>
        <v>5</v>
      </c>
      <c r="B8" s="100">
        <f>Request!B12</f>
        <v>0</v>
      </c>
      <c r="C8" s="100"/>
      <c r="D8" s="101"/>
      <c r="E8" s="202" t="s">
        <v>156</v>
      </c>
      <c r="F8" s="212"/>
      <c r="G8" s="82">
        <f ca="1">IF(Request!M12&lt;&gt;"CAL 12/12",Worksheet!B393,Worksheet!L393)</f>
        <v>0</v>
      </c>
      <c r="H8" s="82" t="str">
        <f>IF(Request!H12="","",IF(Request!H12=0,"",IF(Request!F12=0,"",IF(Worksheet!$C$5=0,"",IF($Q8&lt;&gt;12,Worksheet!L393-Worksheet!B393,0)))))</f>
        <v/>
      </c>
      <c r="I8" s="82">
        <f ca="1">IF(Request!$M12&lt;&gt;"CAL 12/12",Worksheet!D393,Worksheet!N393)</f>
        <v>0</v>
      </c>
      <c r="J8" s="82" t="str">
        <f>IF(Request!I12="","",IF(Request!I12=0,"",IF(Request!F12=0,"",IF(Worksheet!$D$5=0,"",IF(Q8&lt;&gt;12,Worksheet!N393-Worksheet!D393,0)))))</f>
        <v/>
      </c>
      <c r="K8" s="82">
        <f ca="1">IF(Request!$M12&lt;&gt;"CAL 12/12",Worksheet!F393,Worksheet!P393)</f>
        <v>0</v>
      </c>
      <c r="L8" s="82" t="str">
        <f>IF(Request!J12="","",IF(Request!J12=0,"",IF(Request!F12=0,"",IF(Worksheet!$E$5=0,"",IF(Q8&lt;&gt;12,Worksheet!P393-Worksheet!F393,0)))))</f>
        <v/>
      </c>
      <c r="M8" s="82">
        <f ca="1">IF(Request!$M12&lt;&gt;"CAL 12/12",Worksheet!H393,Worksheet!R393)</f>
        <v>0</v>
      </c>
      <c r="N8" s="82" t="str">
        <f>IF(Request!K12="","",IF(Request!K12=0,"",IF(Request!F12=0,"",IF(Worksheet!$F$5=0,"",IF(Q8&lt;&gt;12,Worksheet!R393-Worksheet!H393,0)))))</f>
        <v/>
      </c>
      <c r="O8" s="82">
        <f ca="1">IF(Request!$M12&lt;&gt;"CAL 12/12",Worksheet!J393,Worksheet!T393)</f>
        <v>0</v>
      </c>
      <c r="P8" s="82" t="str">
        <f>IF(Request!L12="","",IF(Request!L12=0,"",IF(Request!F12=0,"",IF(Worksheet!$G$5=0,"",IF(Q8&lt;&gt;12,Worksheet!T393-Worksheet!J393,0)))))</f>
        <v/>
      </c>
      <c r="Q8" s="271">
        <f>IF(Request!M12="CAL 12/12",12,IF(Request!M12="AY 9/12",9,IF(Request!M12="AY 11/12",11,IF(Request!M12="SMR 9/12",9,IF(Request!M12="SMR 11/12",11)))))</f>
        <v>12</v>
      </c>
      <c r="R8" s="271" t="s">
        <v>53</v>
      </c>
      <c r="S8" s="212"/>
      <c r="T8" s="103">
        <f ca="1">IF(AND(G8=0,Request!$G12&lt;&gt;0),"Add Base Sal",IF('Personnel Reference'!G8=0,0,Request!P12/(G8/$Q8)))</f>
        <v>0</v>
      </c>
      <c r="U8" s="103">
        <f ca="1">IF(AND(I8=0,Request!$G12&lt;&gt;0),"Add Base Sal",IF('Personnel Reference'!I8=0,0,IF(I8="","",Request!Q12/(I8/$Q8))))</f>
        <v>0</v>
      </c>
      <c r="V8" s="103">
        <f ca="1">IF(AND(K8=0,Request!$G12&lt;&gt;0),"Add Base Sal",IF('Personnel Reference'!K8=0,0,IF(K8="","",Request!R12/(K8/$Q8))))</f>
        <v>0</v>
      </c>
      <c r="W8" s="103">
        <f ca="1">IF(AND(M8=0,Request!$G12&lt;&gt;0),"Add Base Sal",IF('Personnel Reference'!M8=0,0,IF(M8="","",Request!S12/(M8/$Q8))))</f>
        <v>0</v>
      </c>
      <c r="X8" s="103">
        <f ca="1">IF(AND(O8=0,Request!$G12&lt;&gt;0),"Add Base Sal",IF('Personnel Reference'!O8=0,0,IF(O8="","",Request!T12/(O8/$Q8))))</f>
        <v>0</v>
      </c>
      <c r="Y8" s="285" t="str">
        <f>IF(Request!M12="CAL 12/12","CAL",IF(Request!M12="AY 9/12","AY",IF(Request!M12="AY 11/12","AY",IF(Request!M12="SMR 9/12","SMR",IF(Request!M12="SMR 11/12","SMR")))))</f>
        <v>CAL</v>
      </c>
      <c r="Z8" s="212"/>
      <c r="AA8" s="82">
        <f ca="1">Request!P12+Request!P40</f>
        <v>0</v>
      </c>
      <c r="AB8" s="82">
        <f ca="1">Request!Q12+Request!Q40</f>
        <v>0</v>
      </c>
      <c r="AC8" s="82">
        <f ca="1">Request!R12+Request!R40</f>
        <v>0</v>
      </c>
      <c r="AD8" s="82">
        <f ca="1">Request!S12+Request!S40</f>
        <v>0</v>
      </c>
      <c r="AE8" s="82">
        <f ca="1">Request!T12+Request!T40</f>
        <v>0</v>
      </c>
      <c r="AF8" s="284">
        <f t="shared" ca="1" si="0"/>
        <v>0</v>
      </c>
      <c r="AG8" s="277"/>
      <c r="AH8" s="281" t="str">
        <f ca="1">IF(G8="","",IF(Worksheet!$L283="D","n/a",IF(Worksheet!B$308=Worksheet!C$308,"("&amp;ROUND(Worksheet!B313+Worksheet!C313,2)&amp;")"&amp;ROUND(Worksheet!B$308*100,2),"("&amp;ROUND(Worksheet!B313,2)&amp;")"&amp;ROUND(Worksheet!B$308*100,2)&amp;"/ ("&amp;ROUND(Worksheet!C313,2)&amp;")"&amp;ROUND(Worksheet!C$308*100,2))))</f>
        <v>n/a</v>
      </c>
      <c r="AI8" s="281" t="str">
        <f ca="1">IF(I8="","",IF(Worksheet!$L283="D","n/a",IF(Worksheet!D$308=Worksheet!E$308,"("&amp;ROUND(Worksheet!D313+Worksheet!E313,2)&amp;")"&amp;ROUND(Worksheet!D$308*100,2),"("&amp;ROUND(Worksheet!D313,2)&amp;")"&amp;ROUND(Worksheet!D$308*100,2)&amp;"/ ("&amp;ROUND(Worksheet!E313,2)&amp;")"&amp;ROUND(Worksheet!E$308*100,2))))</f>
        <v>n/a</v>
      </c>
      <c r="AJ8" s="281" t="str">
        <f ca="1">IF(K8="","",IF(Worksheet!$L283="D","n/a",IF(Worksheet!F$308=Worksheet!G$308,"("&amp;ROUND(Worksheet!F313+Worksheet!G313,2)&amp;")"&amp;ROUND(Worksheet!F$308*100,2),"("&amp;ROUND(Worksheet!F313,2)&amp;")"&amp;ROUND(Worksheet!F$308*100,2)&amp;"/ ("&amp;ROUND(Worksheet!G313,2)&amp;")"&amp;ROUND(Worksheet!G$308*100,2))))</f>
        <v>n/a</v>
      </c>
      <c r="AK8" s="281" t="str">
        <f ca="1">IF(M8="","",IF(Worksheet!$L283="D","n/a",IF(Worksheet!H$308=Worksheet!I$308,"("&amp;ROUND(Worksheet!H313+Worksheet!I313,2)&amp;")"&amp;ROUND(Worksheet!H$308*100,2),"("&amp;ROUND(Worksheet!H313,2)&amp;")"&amp;ROUND(Worksheet!H$308*100,2)&amp;"/ ("&amp;ROUND(Worksheet!I313,2)&amp;")"&amp;ROUND(Worksheet!I$308*100,2))))</f>
        <v>n/a</v>
      </c>
      <c r="AL8" s="281" t="str">
        <f ca="1">IF(O8="","",IF(Worksheet!$L283="D","n/a",IF(Worksheet!J$308=Worksheet!K$308,"("&amp;ROUND(Worksheet!J313+Worksheet!K313,2)&amp;")"&amp;ROUND(Worksheet!J$308*100,2),"("&amp;ROUND(Worksheet!J313,2)&amp;")"&amp;ROUND(Worksheet!J$308*100,2)&amp;"/ ("&amp;ROUND(Worksheet!K313,2)&amp;")"&amp;ROUND(Worksheet!K$308*100,2))))</f>
        <v>n/a</v>
      </c>
    </row>
    <row r="9" spans="1:38" x14ac:dyDescent="0.25">
      <c r="A9" s="104">
        <f>Request!A13</f>
        <v>6</v>
      </c>
      <c r="B9" s="100">
        <f>Request!B13</f>
        <v>0</v>
      </c>
      <c r="C9" s="100"/>
      <c r="D9" s="101"/>
      <c r="E9" s="202" t="s">
        <v>156</v>
      </c>
      <c r="F9" s="212"/>
      <c r="G9" s="82">
        <f ca="1">IF(Request!M13&lt;&gt;"CAL 12/12",Worksheet!B394,Worksheet!L394)</f>
        <v>0</v>
      </c>
      <c r="H9" s="82" t="str">
        <f>IF(Request!H13="","",IF(Request!H13=0,"",IF(Request!F13=0,"",IF(Worksheet!$C$5=0,"",IF($Q9&lt;&gt;12,Worksheet!L394-Worksheet!B394,0)))))</f>
        <v/>
      </c>
      <c r="I9" s="82">
        <f ca="1">IF(Request!$M13&lt;&gt;"CAL 12/12",Worksheet!D394,Worksheet!N394)</f>
        <v>0</v>
      </c>
      <c r="J9" s="82" t="str">
        <f>IF(Request!I13="","",IF(Request!I13=0,"",IF(Request!F13=0,"",IF(Worksheet!$D$5=0,"",IF(Q9&lt;&gt;12,Worksheet!N394-Worksheet!D394,0)))))</f>
        <v/>
      </c>
      <c r="K9" s="82">
        <f ca="1">IF(Request!$M13&lt;&gt;"CAL 12/12",Worksheet!F394,Worksheet!P394)</f>
        <v>0</v>
      </c>
      <c r="L9" s="82" t="str">
        <f>IF(Request!J13="","",IF(Request!J13=0,"",IF(Request!F13=0,"",IF(Worksheet!$E$5=0,"",IF(Q9&lt;&gt;12,Worksheet!P394-Worksheet!F394,0)))))</f>
        <v/>
      </c>
      <c r="M9" s="82">
        <f ca="1">IF(Request!$M13&lt;&gt;"CAL 12/12",Worksheet!H394,Worksheet!R394)</f>
        <v>0</v>
      </c>
      <c r="N9" s="82" t="str">
        <f>IF(Request!K13="","",IF(Request!K13=0,"",IF(Request!F13=0,"",IF(Worksheet!$F$5=0,"",IF(Q9&lt;&gt;12,Worksheet!R394-Worksheet!H394,0)))))</f>
        <v/>
      </c>
      <c r="O9" s="82">
        <f ca="1">IF(Request!$M13&lt;&gt;"CAL 12/12",Worksheet!J394,Worksheet!T394)</f>
        <v>0</v>
      </c>
      <c r="P9" s="82" t="str">
        <f>IF(Request!L13="","",IF(Request!L13=0,"",IF(Request!F13=0,"",IF(Worksheet!$G$5=0,"",IF(Q9&lt;&gt;12,Worksheet!T394-Worksheet!J394,0)))))</f>
        <v/>
      </c>
      <c r="Q9" s="271">
        <f>IF(Request!M13="CAL 12/12",12,IF(Request!M13="AY 9/12",9,IF(Request!M13="AY 11/12",11,IF(Request!M13="SMR 9/12",9,IF(Request!M13="SMR 11/12",11)))))</f>
        <v>12</v>
      </c>
      <c r="R9" s="271" t="s">
        <v>53</v>
      </c>
      <c r="S9" s="212"/>
      <c r="T9" s="103">
        <f ca="1">IF(AND(G9=0,Request!$G13&lt;&gt;0),"Add Base Sal",IF('Personnel Reference'!G9=0,0,Request!P13/(G9/$Q9)))</f>
        <v>0</v>
      </c>
      <c r="U9" s="103">
        <f ca="1">IF(AND(I9=0,Request!$G13&lt;&gt;0),"Add Base Sal",IF('Personnel Reference'!I9=0,0,IF(I9="","",Request!Q13/(I9/$Q9))))</f>
        <v>0</v>
      </c>
      <c r="V9" s="103">
        <f ca="1">IF(AND(K9=0,Request!$G13&lt;&gt;0),"Add Base Sal",IF('Personnel Reference'!K9=0,0,IF(K9="","",Request!R13/(K9/$Q9))))</f>
        <v>0</v>
      </c>
      <c r="W9" s="103">
        <f ca="1">IF(AND(M9=0,Request!$G13&lt;&gt;0),"Add Base Sal",IF('Personnel Reference'!M9=0,0,IF(M9="","",Request!S13/(M9/$Q9))))</f>
        <v>0</v>
      </c>
      <c r="X9" s="103">
        <f ca="1">IF(AND(O9=0,Request!$G13&lt;&gt;0),"Add Base Sal",IF('Personnel Reference'!O9=0,0,IF(O9="","",Request!T13/(O9/$Q9))))</f>
        <v>0</v>
      </c>
      <c r="Y9" s="285" t="str">
        <f>IF(Request!M13="CAL 12/12","CAL",IF(Request!M13="AY 9/12","AY",IF(Request!M13="AY 11/12","AY",IF(Request!M13="SMR 9/12","SMR",IF(Request!M13="SMR 11/12","SMR")))))</f>
        <v>CAL</v>
      </c>
      <c r="Z9" s="212"/>
      <c r="AA9" s="82">
        <f ca="1">Request!P13+Request!P41</f>
        <v>0</v>
      </c>
      <c r="AB9" s="82">
        <f ca="1">Request!Q13+Request!Q41</f>
        <v>0</v>
      </c>
      <c r="AC9" s="82">
        <f ca="1">Request!R13+Request!R41</f>
        <v>0</v>
      </c>
      <c r="AD9" s="82">
        <f ca="1">Request!S13+Request!S41</f>
        <v>0</v>
      </c>
      <c r="AE9" s="82">
        <f ca="1">Request!T13+Request!T41</f>
        <v>0</v>
      </c>
      <c r="AF9" s="284">
        <f t="shared" ca="1" si="0"/>
        <v>0</v>
      </c>
      <c r="AG9" s="277"/>
      <c r="AH9" s="281" t="str">
        <f ca="1">IF(G9="","",IF(Worksheet!$L284="D","n/a",IF(Worksheet!B$308=Worksheet!C$308,"("&amp;ROUND(Worksheet!B314+Worksheet!C314,2)&amp;")"&amp;ROUND(Worksheet!B$308*100,2),"("&amp;ROUND(Worksheet!B314,2)&amp;")"&amp;ROUND(Worksheet!B$308*100,2)&amp;"/ ("&amp;ROUND(Worksheet!C314,2)&amp;")"&amp;ROUND(Worksheet!C$308*100,2))))</f>
        <v>n/a</v>
      </c>
      <c r="AI9" s="281" t="str">
        <f ca="1">IF(I9="","",IF(Worksheet!$L284="D","n/a",IF(Worksheet!D$308=Worksheet!E$308,"("&amp;ROUND(Worksheet!D314+Worksheet!E314,2)&amp;")"&amp;ROUND(Worksheet!D$308*100,2),"("&amp;ROUND(Worksheet!D314,2)&amp;")"&amp;ROUND(Worksheet!D$308*100,2)&amp;"/ ("&amp;ROUND(Worksheet!E314,2)&amp;")"&amp;ROUND(Worksheet!E$308*100,2))))</f>
        <v>n/a</v>
      </c>
      <c r="AJ9" s="281" t="str">
        <f ca="1">IF(K9="","",IF(Worksheet!$L284="D","n/a",IF(Worksheet!F$308=Worksheet!G$308,"("&amp;ROUND(Worksheet!F314+Worksheet!G314,2)&amp;")"&amp;ROUND(Worksheet!F$308*100,2),"("&amp;ROUND(Worksheet!F314,2)&amp;")"&amp;ROUND(Worksheet!F$308*100,2)&amp;"/ ("&amp;ROUND(Worksheet!G314,2)&amp;")"&amp;ROUND(Worksheet!G$308*100,2))))</f>
        <v>n/a</v>
      </c>
      <c r="AK9" s="281" t="str">
        <f ca="1">IF(M9="","",IF(Worksheet!$L284="D","n/a",IF(Worksheet!H$308=Worksheet!I$308,"("&amp;ROUND(Worksheet!H314+Worksheet!I314,2)&amp;")"&amp;ROUND(Worksheet!H$308*100,2),"("&amp;ROUND(Worksheet!H314,2)&amp;")"&amp;ROUND(Worksheet!H$308*100,2)&amp;"/ ("&amp;ROUND(Worksheet!I314,2)&amp;")"&amp;ROUND(Worksheet!I$308*100,2))))</f>
        <v>n/a</v>
      </c>
      <c r="AL9" s="281" t="str">
        <f ca="1">IF(O9="","",IF(Worksheet!$L284="D","n/a",IF(Worksheet!J$308=Worksheet!K$308,"("&amp;ROUND(Worksheet!J314+Worksheet!K314,2)&amp;")"&amp;ROUND(Worksheet!J$308*100,2),"("&amp;ROUND(Worksheet!J314,2)&amp;")"&amp;ROUND(Worksheet!J$308*100,2)&amp;"/ ("&amp;ROUND(Worksheet!K314,2)&amp;")"&amp;ROUND(Worksheet!K$308*100,2))))</f>
        <v>n/a</v>
      </c>
    </row>
    <row r="10" spans="1:38" x14ac:dyDescent="0.25">
      <c r="A10" s="104">
        <f>Request!A14</f>
        <v>7</v>
      </c>
      <c r="B10" s="100">
        <f>Request!B14</f>
        <v>0</v>
      </c>
      <c r="C10" s="100"/>
      <c r="D10" s="101"/>
      <c r="E10" s="202" t="s">
        <v>156</v>
      </c>
      <c r="F10" s="212"/>
      <c r="G10" s="82">
        <f ca="1">IF(Request!M14&lt;&gt;"CAL 12/12",Worksheet!B395,Worksheet!L395)</f>
        <v>0</v>
      </c>
      <c r="H10" s="82" t="str">
        <f>IF(Request!H14="","",IF(Request!H14=0,"",IF(Request!F14=0,"",IF(Worksheet!$C$5=0,"",IF($Q10&lt;&gt;12,Worksheet!L395-Worksheet!B395,0)))))</f>
        <v/>
      </c>
      <c r="I10" s="82">
        <f ca="1">IF(Request!$M14&lt;&gt;"CAL 12/12",Worksheet!D395,Worksheet!N395)</f>
        <v>0</v>
      </c>
      <c r="J10" s="82" t="str">
        <f>IF(Request!I14="","",IF(Request!I14=0,"",IF(Request!F14=0,"",IF(Worksheet!$D$5=0,"",IF(Q10&lt;&gt;12,Worksheet!N395-Worksheet!D395,0)))))</f>
        <v/>
      </c>
      <c r="K10" s="82">
        <f ca="1">IF(Request!$M14&lt;&gt;"CAL 12/12",Worksheet!F395,Worksheet!P395)</f>
        <v>0</v>
      </c>
      <c r="L10" s="82" t="str">
        <f>IF(Request!J14="","",IF(Request!J14=0,"",IF(Request!F14=0,"",IF(Worksheet!$E$5=0,"",IF(Q10&lt;&gt;12,Worksheet!P395-Worksheet!F395,0)))))</f>
        <v/>
      </c>
      <c r="M10" s="82">
        <f ca="1">IF(Request!$M14&lt;&gt;"CAL 12/12",Worksheet!H395,Worksheet!R395)</f>
        <v>0</v>
      </c>
      <c r="N10" s="82" t="str">
        <f>IF(Request!K14="","",IF(Request!K14=0,"",IF(Request!F14=0,"",IF(Worksheet!$F$5=0,"",IF(Q10&lt;&gt;12,Worksheet!R395-Worksheet!H395,0)))))</f>
        <v/>
      </c>
      <c r="O10" s="82">
        <f ca="1">IF(Request!$M14&lt;&gt;"CAL 12/12",Worksheet!J395,Worksheet!T395)</f>
        <v>0</v>
      </c>
      <c r="P10" s="82" t="str">
        <f>IF(Request!L14="","",IF(Request!L14=0,"",IF(Request!F14=0,"",IF(Worksheet!$G$5=0,"",IF(Q10&lt;&gt;12,Worksheet!T395-Worksheet!J395,0)))))</f>
        <v/>
      </c>
      <c r="Q10" s="271">
        <f>IF(Request!M14="CAL 12/12",12,IF(Request!M14="AY 9/12",9,IF(Request!M14="AY 11/12",11,IF(Request!M14="SMR 9/12",9,IF(Request!M14="SMR 11/12",11)))))</f>
        <v>12</v>
      </c>
      <c r="R10" s="271" t="s">
        <v>53</v>
      </c>
      <c r="S10" s="212"/>
      <c r="T10" s="103">
        <f ca="1">IF(AND(G10=0,Request!$G14&lt;&gt;0),"Add Base Sal",IF('Personnel Reference'!G10=0,0,Request!P14/(G10/$Q10)))</f>
        <v>0</v>
      </c>
      <c r="U10" s="103">
        <f ca="1">IF(AND(I10=0,Request!$G14&lt;&gt;0),"Add Base Sal",IF('Personnel Reference'!I10=0,0,IF(I10="","",Request!Q14/(I10/$Q10))))</f>
        <v>0</v>
      </c>
      <c r="V10" s="103">
        <f ca="1">IF(AND(K10=0,Request!$G14&lt;&gt;0),"Add Base Sal",IF('Personnel Reference'!K10=0,0,IF(K10="","",Request!R14/(K10/$Q10))))</f>
        <v>0</v>
      </c>
      <c r="W10" s="103">
        <f ca="1">IF(AND(M10=0,Request!$G14&lt;&gt;0),"Add Base Sal",IF('Personnel Reference'!M10=0,0,IF(M10="","",Request!S14/(M10/$Q10))))</f>
        <v>0</v>
      </c>
      <c r="X10" s="103">
        <f ca="1">IF(AND(O10=0,Request!$G14&lt;&gt;0),"Add Base Sal",IF('Personnel Reference'!O10=0,0,IF(O10="","",Request!T14/(O10/$Q10))))</f>
        <v>0</v>
      </c>
      <c r="Y10" s="285" t="str">
        <f>IF(Request!M14="CAL 12/12","CAL",IF(Request!M14="AY 9/12","AY",IF(Request!M14="AY 11/12","AY",IF(Request!M14="SMR 9/12","SMR",IF(Request!M14="SMR 11/12","SMR")))))</f>
        <v>CAL</v>
      </c>
      <c r="Z10" s="212"/>
      <c r="AA10" s="82">
        <f ca="1">Request!P14+Request!P42</f>
        <v>0</v>
      </c>
      <c r="AB10" s="82">
        <f ca="1">Request!Q14+Request!Q42</f>
        <v>0</v>
      </c>
      <c r="AC10" s="82">
        <f ca="1">Request!R14+Request!R42</f>
        <v>0</v>
      </c>
      <c r="AD10" s="82">
        <f ca="1">Request!S14+Request!S42</f>
        <v>0</v>
      </c>
      <c r="AE10" s="82">
        <f ca="1">Request!T14+Request!T42</f>
        <v>0</v>
      </c>
      <c r="AF10" s="284">
        <f t="shared" ca="1" si="0"/>
        <v>0</v>
      </c>
      <c r="AG10" s="277"/>
      <c r="AH10" s="281" t="str">
        <f ca="1">IF(G10="","",IF(Worksheet!$L285="D","n/a",IF(Worksheet!B$308=Worksheet!C$308,"("&amp;ROUND(Worksheet!B315+Worksheet!C315,2)&amp;")"&amp;ROUND(Worksheet!B$308*100,2),"("&amp;ROUND(Worksheet!B315,2)&amp;")"&amp;ROUND(Worksheet!B$308*100,2)&amp;"/ ("&amp;ROUND(Worksheet!C315,2)&amp;")"&amp;ROUND(Worksheet!C$308*100,2))))</f>
        <v>n/a</v>
      </c>
      <c r="AI10" s="281" t="str">
        <f ca="1">IF(I10="","",IF(Worksheet!$L285="D","n/a",IF(Worksheet!D$308=Worksheet!E$308,"("&amp;ROUND(Worksheet!D315+Worksheet!E315,2)&amp;")"&amp;ROUND(Worksheet!D$308*100,2),"("&amp;ROUND(Worksheet!D315,2)&amp;")"&amp;ROUND(Worksheet!D$308*100,2)&amp;"/ ("&amp;ROUND(Worksheet!E315,2)&amp;")"&amp;ROUND(Worksheet!E$308*100,2))))</f>
        <v>n/a</v>
      </c>
      <c r="AJ10" s="281" t="str">
        <f ca="1">IF(K10="","",IF(Worksheet!$L285="D","n/a",IF(Worksheet!F$308=Worksheet!G$308,"("&amp;ROUND(Worksheet!F315+Worksheet!G315,2)&amp;")"&amp;ROUND(Worksheet!F$308*100,2),"("&amp;ROUND(Worksheet!F315,2)&amp;")"&amp;ROUND(Worksheet!F$308*100,2)&amp;"/ ("&amp;ROUND(Worksheet!G315,2)&amp;")"&amp;ROUND(Worksheet!G$308*100,2))))</f>
        <v>n/a</v>
      </c>
      <c r="AK10" s="281" t="str">
        <f ca="1">IF(M10="","",IF(Worksheet!$L285="D","n/a",IF(Worksheet!H$308=Worksheet!I$308,"("&amp;ROUND(Worksheet!H315+Worksheet!I315,2)&amp;")"&amp;ROUND(Worksheet!H$308*100,2),"("&amp;ROUND(Worksheet!H315,2)&amp;")"&amp;ROUND(Worksheet!H$308*100,2)&amp;"/ ("&amp;ROUND(Worksheet!I315,2)&amp;")"&amp;ROUND(Worksheet!I$308*100,2))))</f>
        <v>n/a</v>
      </c>
      <c r="AL10" s="281" t="str">
        <f ca="1">IF(O10="","",IF(Worksheet!$L285="D","n/a",IF(Worksheet!J$308=Worksheet!K$308,"("&amp;ROUND(Worksheet!J315+Worksheet!K315,2)&amp;")"&amp;ROUND(Worksheet!J$308*100,2),"("&amp;ROUND(Worksheet!J315,2)&amp;")"&amp;ROUND(Worksheet!J$308*100,2)&amp;"/ ("&amp;ROUND(Worksheet!K315,2)&amp;")"&amp;ROUND(Worksheet!K$308*100,2))))</f>
        <v>n/a</v>
      </c>
    </row>
    <row r="11" spans="1:38" x14ac:dyDescent="0.25">
      <c r="A11" s="104">
        <f>Request!A15</f>
        <v>8</v>
      </c>
      <c r="B11" s="100">
        <f>Request!B15</f>
        <v>0</v>
      </c>
      <c r="C11" s="100"/>
      <c r="D11" s="101"/>
      <c r="E11" s="202" t="s">
        <v>156</v>
      </c>
      <c r="F11" s="212"/>
      <c r="G11" s="82">
        <f ca="1">IF(Request!M15&lt;&gt;"CAL 12/12",Worksheet!B396,Worksheet!L396)</f>
        <v>0</v>
      </c>
      <c r="H11" s="82" t="str">
        <f>IF(Request!H15="","",IF(Request!H15=0,"",IF(Request!F15=0,"",IF(Worksheet!$C$5=0,"",IF($Q11&lt;&gt;12,Worksheet!L396-Worksheet!B396,0)))))</f>
        <v/>
      </c>
      <c r="I11" s="82">
        <f ca="1">IF(Request!$M15&lt;&gt;"CAL 12/12",Worksheet!D396,Worksheet!N396)</f>
        <v>0</v>
      </c>
      <c r="J11" s="82" t="str">
        <f>IF(Request!I15="","",IF(Request!I15=0,"",IF(Request!F15=0,"",IF(Worksheet!$D$5=0,"",IF(Q11&lt;&gt;12,Worksheet!N396-Worksheet!D396,0)))))</f>
        <v/>
      </c>
      <c r="K11" s="82">
        <f ca="1">IF(Request!$M15&lt;&gt;"CAL 12/12",Worksheet!F396,Worksheet!P396)</f>
        <v>0</v>
      </c>
      <c r="L11" s="82" t="str">
        <f>IF(Request!J15="","",IF(Request!J15=0,"",IF(Request!F15=0,"",IF(Worksheet!$E$5=0,"",IF(Q11&lt;&gt;12,Worksheet!P396-Worksheet!F396,0)))))</f>
        <v/>
      </c>
      <c r="M11" s="82">
        <f ca="1">IF(Request!$M15&lt;&gt;"CAL 12/12",Worksheet!H396,Worksheet!R396)</f>
        <v>0</v>
      </c>
      <c r="N11" s="82" t="str">
        <f>IF(Request!K15="","",IF(Request!K15=0,"",IF(Request!F15=0,"",IF(Worksheet!$F$5=0,"",IF(Q11&lt;&gt;12,Worksheet!R396-Worksheet!H396,0)))))</f>
        <v/>
      </c>
      <c r="O11" s="82">
        <f ca="1">IF(Request!$M15&lt;&gt;"CAL 12/12",Worksheet!J396,Worksheet!T396)</f>
        <v>0</v>
      </c>
      <c r="P11" s="82" t="str">
        <f>IF(Request!L15="","",IF(Request!L15=0,"",IF(Request!F15=0,"",IF(Worksheet!$G$5=0,"",IF(Q11&lt;&gt;12,Worksheet!T396-Worksheet!J396,0)))))</f>
        <v/>
      </c>
      <c r="Q11" s="271">
        <f>IF(Request!M15="CAL 12/12",12,IF(Request!M15="AY 9/12",9,IF(Request!M15="AY 11/12",11,IF(Request!M15="SMR 9/12",9,IF(Request!M15="SMR 11/12",11)))))</f>
        <v>12</v>
      </c>
      <c r="R11" s="271" t="s">
        <v>53</v>
      </c>
      <c r="S11" s="212"/>
      <c r="T11" s="103">
        <f ca="1">IF(AND(G11=0,Request!$G15&lt;&gt;0),"Add Base Sal",IF('Personnel Reference'!G11=0,0,Request!P15/(G11/$Q11)))</f>
        <v>0</v>
      </c>
      <c r="U11" s="103">
        <f ca="1">IF(AND(I11=0,Request!$G15&lt;&gt;0),"Add Base Sal",IF('Personnel Reference'!I11=0,0,IF(I11="","",Request!Q15/(I11/$Q11))))</f>
        <v>0</v>
      </c>
      <c r="V11" s="103">
        <f ca="1">IF(AND(K11=0,Request!$G15&lt;&gt;0),"Add Base Sal",IF('Personnel Reference'!K11=0,0,IF(K11="","",Request!R15/(K11/$Q11))))</f>
        <v>0</v>
      </c>
      <c r="W11" s="103">
        <f ca="1">IF(AND(M11=0,Request!$G15&lt;&gt;0),"Add Base Sal",IF('Personnel Reference'!M11=0,0,IF(M11="","",Request!S15/(M11/$Q11))))</f>
        <v>0</v>
      </c>
      <c r="X11" s="103">
        <f ca="1">IF(AND(O11=0,Request!$G15&lt;&gt;0),"Add Base Sal",IF('Personnel Reference'!O11=0,0,IF(O11="","",Request!T15/(O11/$Q11))))</f>
        <v>0</v>
      </c>
      <c r="Y11" s="285" t="str">
        <f>IF(Request!M15="CAL 12/12","CAL",IF(Request!M15="AY 9/12","AY",IF(Request!M15="AY 11/12","AY",IF(Request!M15="SMR 9/12","SMR",IF(Request!M15="SMR 11/12","SMR")))))</f>
        <v>CAL</v>
      </c>
      <c r="Z11" s="212"/>
      <c r="AA11" s="82">
        <f ca="1">Request!P15+Request!P43</f>
        <v>0</v>
      </c>
      <c r="AB11" s="82">
        <f ca="1">Request!Q15+Request!Q43</f>
        <v>0</v>
      </c>
      <c r="AC11" s="82">
        <f ca="1">Request!R15+Request!R43</f>
        <v>0</v>
      </c>
      <c r="AD11" s="82">
        <f ca="1">Request!S15+Request!S43</f>
        <v>0</v>
      </c>
      <c r="AE11" s="82">
        <f ca="1">Request!T15+Request!T43</f>
        <v>0</v>
      </c>
      <c r="AF11" s="284">
        <f t="shared" ca="1" si="0"/>
        <v>0</v>
      </c>
      <c r="AG11" s="277"/>
      <c r="AH11" s="281" t="str">
        <f ca="1">IF(G11="","",IF(Worksheet!$L286="D","n/a",IF(Worksheet!B$308=Worksheet!C$308,"("&amp;ROUND(Worksheet!B316+Worksheet!C316,2)&amp;")"&amp;ROUND(Worksheet!B$308*100,2),"("&amp;ROUND(Worksheet!B316,2)&amp;")"&amp;ROUND(Worksheet!B$308*100,2)&amp;"/ ("&amp;ROUND(Worksheet!C316,2)&amp;")"&amp;ROUND(Worksheet!C$308*100,2))))</f>
        <v>n/a</v>
      </c>
      <c r="AI11" s="281" t="str">
        <f ca="1">IF(I11="","",IF(Worksheet!$L286="D","n/a",IF(Worksheet!D$308=Worksheet!E$308,"("&amp;ROUND(Worksheet!D316+Worksheet!E316,2)&amp;")"&amp;ROUND(Worksheet!D$308*100,2),"("&amp;ROUND(Worksheet!D316,2)&amp;")"&amp;ROUND(Worksheet!D$308*100,2)&amp;"/ ("&amp;ROUND(Worksheet!E316,2)&amp;")"&amp;ROUND(Worksheet!E$308*100,2))))</f>
        <v>n/a</v>
      </c>
      <c r="AJ11" s="281" t="str">
        <f ca="1">IF(K11="","",IF(Worksheet!$L286="D","n/a",IF(Worksheet!F$308=Worksheet!G$308,"("&amp;ROUND(Worksheet!F316+Worksheet!G316,2)&amp;")"&amp;ROUND(Worksheet!F$308*100,2),"("&amp;ROUND(Worksheet!F316,2)&amp;")"&amp;ROUND(Worksheet!F$308*100,2)&amp;"/ ("&amp;ROUND(Worksheet!G316,2)&amp;")"&amp;ROUND(Worksheet!G$308*100,2))))</f>
        <v>n/a</v>
      </c>
      <c r="AK11" s="281" t="str">
        <f ca="1">IF(M11="","",IF(Worksheet!$L286="D","n/a",IF(Worksheet!H$308=Worksheet!I$308,"("&amp;ROUND(Worksheet!H316+Worksheet!I316,2)&amp;")"&amp;ROUND(Worksheet!H$308*100,2),"("&amp;ROUND(Worksheet!H316,2)&amp;")"&amp;ROUND(Worksheet!H$308*100,2)&amp;"/ ("&amp;ROUND(Worksheet!I316,2)&amp;")"&amp;ROUND(Worksheet!I$308*100,2))))</f>
        <v>n/a</v>
      </c>
      <c r="AL11" s="281" t="str">
        <f ca="1">IF(O11="","",IF(Worksheet!$L286="D","n/a",IF(Worksheet!J$308=Worksheet!K$308,"("&amp;ROUND(Worksheet!J316+Worksheet!K316,2)&amp;")"&amp;ROUND(Worksheet!J$308*100,2),"("&amp;ROUND(Worksheet!J316,2)&amp;")"&amp;ROUND(Worksheet!J$308*100,2)&amp;"/ ("&amp;ROUND(Worksheet!K316,2)&amp;")"&amp;ROUND(Worksheet!K$308*100,2))))</f>
        <v>n/a</v>
      </c>
    </row>
    <row r="12" spans="1:38" x14ac:dyDescent="0.25">
      <c r="A12" s="104">
        <f>Request!A16</f>
        <v>9</v>
      </c>
      <c r="B12" s="100">
        <f>Request!B16</f>
        <v>0</v>
      </c>
      <c r="C12" s="100"/>
      <c r="D12" s="101"/>
      <c r="E12" s="202" t="s">
        <v>156</v>
      </c>
      <c r="F12" s="212"/>
      <c r="G12" s="82">
        <f ca="1">IF(Request!M16&lt;&gt;"CAL 12/12",Worksheet!B397,Worksheet!L397)</f>
        <v>0</v>
      </c>
      <c r="H12" s="82" t="str">
        <f>IF(Request!H16="","",IF(Request!H16=0,"",IF(Request!F16=0,"",IF(Worksheet!$C$5=0,"",IF($Q12&lt;&gt;12,Worksheet!L397-Worksheet!B397,0)))))</f>
        <v/>
      </c>
      <c r="I12" s="82">
        <f ca="1">IF(Request!$M16&lt;&gt;"CAL 12/12",Worksheet!D397,Worksheet!N397)</f>
        <v>0</v>
      </c>
      <c r="J12" s="82" t="str">
        <f>IF(Request!I16="","",IF(Request!I16=0,"",IF(Request!F16=0,"",IF(Worksheet!$D$5=0,"",IF(Q12&lt;&gt;12,Worksheet!N397-Worksheet!D397,0)))))</f>
        <v/>
      </c>
      <c r="K12" s="82">
        <f ca="1">IF(Request!$M16&lt;&gt;"CAL 12/12",Worksheet!F397,Worksheet!P397)</f>
        <v>0</v>
      </c>
      <c r="L12" s="82" t="str">
        <f>IF(Request!J16="","",IF(Request!J16=0,"",IF(Request!F16=0,"",IF(Worksheet!$E$5=0,"",IF(Q12&lt;&gt;12,Worksheet!P397-Worksheet!F397,0)))))</f>
        <v/>
      </c>
      <c r="M12" s="82">
        <f ca="1">IF(Request!$M16&lt;&gt;"CAL 12/12",Worksheet!H397,Worksheet!R397)</f>
        <v>0</v>
      </c>
      <c r="N12" s="82" t="str">
        <f>IF(Request!K16="","",IF(Request!K16=0,"",IF(Request!F16=0,"",IF(Worksheet!$F$5=0,"",IF(Q12&lt;&gt;12,Worksheet!R397-Worksheet!H397,0)))))</f>
        <v/>
      </c>
      <c r="O12" s="82">
        <f ca="1">IF(Request!$M16&lt;&gt;"CAL 12/12",Worksheet!J397,Worksheet!T397)</f>
        <v>0</v>
      </c>
      <c r="P12" s="82" t="str">
        <f>IF(Request!L16="","",IF(Request!L16=0,"",IF(Request!F16=0,"",IF(Worksheet!$G$5=0,"",IF(Q12&lt;&gt;12,Worksheet!T397-Worksheet!J397,0)))))</f>
        <v/>
      </c>
      <c r="Q12" s="271">
        <f>IF(Request!M16="CAL 12/12",12,IF(Request!M16="AY 9/12",9,IF(Request!M16="AY 11/12",11,IF(Request!M16="SMR 9/12",9,IF(Request!M16="SMR 11/12",11)))))</f>
        <v>12</v>
      </c>
      <c r="R12" s="271" t="s">
        <v>53</v>
      </c>
      <c r="S12" s="212"/>
      <c r="T12" s="103">
        <f ca="1">IF(AND(G12=0,Request!$G16&lt;&gt;0),"Add Base Sal",IF('Personnel Reference'!G12=0,0,Request!P16/(G12/$Q12)))</f>
        <v>0</v>
      </c>
      <c r="U12" s="103">
        <f ca="1">IF(AND(I12=0,Request!$G16&lt;&gt;0),"Add Base Sal",IF('Personnel Reference'!I12=0,0,IF(I12="","",Request!Q16/(I12/$Q12))))</f>
        <v>0</v>
      </c>
      <c r="V12" s="103">
        <f ca="1">IF(AND(K12=0,Request!$G16&lt;&gt;0),"Add Base Sal",IF('Personnel Reference'!K12=0,0,IF(K12="","",Request!R16/(K12/$Q12))))</f>
        <v>0</v>
      </c>
      <c r="W12" s="103">
        <f ca="1">IF(AND(M12=0,Request!$G16&lt;&gt;0),"Add Base Sal",IF('Personnel Reference'!M12=0,0,IF(M12="","",Request!S16/(M12/$Q12))))</f>
        <v>0</v>
      </c>
      <c r="X12" s="103">
        <f ca="1">IF(AND(O12=0,Request!$G16&lt;&gt;0),"Add Base Sal",IF('Personnel Reference'!O12=0,0,IF(O12="","",Request!T16/(O12/$Q12))))</f>
        <v>0</v>
      </c>
      <c r="Y12" s="285" t="str">
        <f>IF(Request!M16="CAL 12/12","CAL",IF(Request!M16="AY 9/12","AY",IF(Request!M16="AY 11/12","AY",IF(Request!M16="SMR 9/12","SMR",IF(Request!M16="SMR 11/12","SMR")))))</f>
        <v>CAL</v>
      </c>
      <c r="Z12" s="212"/>
      <c r="AA12" s="82">
        <f ca="1">Request!P16+Request!P44</f>
        <v>0</v>
      </c>
      <c r="AB12" s="82">
        <f ca="1">Request!Q16+Request!Q44</f>
        <v>0</v>
      </c>
      <c r="AC12" s="82">
        <f ca="1">Request!R16+Request!R44</f>
        <v>0</v>
      </c>
      <c r="AD12" s="82">
        <f ca="1">Request!S16+Request!S44</f>
        <v>0</v>
      </c>
      <c r="AE12" s="82">
        <f ca="1">Request!T16+Request!T44</f>
        <v>0</v>
      </c>
      <c r="AF12" s="284">
        <f t="shared" ca="1" si="0"/>
        <v>0</v>
      </c>
      <c r="AG12" s="277"/>
      <c r="AH12" s="281" t="str">
        <f ca="1">IF(G12="","",IF(Worksheet!$L287="D","n/a",IF(Worksheet!B$308=Worksheet!C$308,"("&amp;ROUND(Worksheet!B317+Worksheet!C317,2)&amp;")"&amp;ROUND(Worksheet!B$308*100,2),"("&amp;ROUND(Worksheet!B317,2)&amp;")"&amp;ROUND(Worksheet!B$308*100,2)&amp;"/ ("&amp;ROUND(Worksheet!C317,2)&amp;")"&amp;ROUND(Worksheet!C$308*100,2))))</f>
        <v>n/a</v>
      </c>
      <c r="AI12" s="281" t="str">
        <f ca="1">IF(I12="","",IF(Worksheet!$L287="D","n/a",IF(Worksheet!D$308=Worksheet!E$308,"("&amp;ROUND(Worksheet!D317+Worksheet!E317,2)&amp;")"&amp;ROUND(Worksheet!D$308*100,2),"("&amp;ROUND(Worksheet!D317,2)&amp;")"&amp;ROUND(Worksheet!D$308*100,2)&amp;"/ ("&amp;ROUND(Worksheet!E317,2)&amp;")"&amp;ROUND(Worksheet!E$308*100,2))))</f>
        <v>n/a</v>
      </c>
      <c r="AJ12" s="281" t="str">
        <f ca="1">IF(K12="","",IF(Worksheet!$L287="D","n/a",IF(Worksheet!F$308=Worksheet!G$308,"("&amp;ROUND(Worksheet!F317+Worksheet!G317,2)&amp;")"&amp;ROUND(Worksheet!F$308*100,2),"("&amp;ROUND(Worksheet!F317,2)&amp;")"&amp;ROUND(Worksheet!F$308*100,2)&amp;"/ ("&amp;ROUND(Worksheet!G317,2)&amp;")"&amp;ROUND(Worksheet!G$308*100,2))))</f>
        <v>n/a</v>
      </c>
      <c r="AK12" s="281" t="str">
        <f ca="1">IF(M12="","",IF(Worksheet!$L287="D","n/a",IF(Worksheet!H$308=Worksheet!I$308,"("&amp;ROUND(Worksheet!H317+Worksheet!I317,2)&amp;")"&amp;ROUND(Worksheet!H$308*100,2),"("&amp;ROUND(Worksheet!H317,2)&amp;")"&amp;ROUND(Worksheet!H$308*100,2)&amp;"/ ("&amp;ROUND(Worksheet!I317,2)&amp;")"&amp;ROUND(Worksheet!I$308*100,2))))</f>
        <v>n/a</v>
      </c>
      <c r="AL12" s="281" t="str">
        <f ca="1">IF(O12="","",IF(Worksheet!$L287="D","n/a",IF(Worksheet!J$308=Worksheet!K$308,"("&amp;ROUND(Worksheet!J317+Worksheet!K317,2)&amp;")"&amp;ROUND(Worksheet!J$308*100,2),"("&amp;ROUND(Worksheet!J317,2)&amp;")"&amp;ROUND(Worksheet!J$308*100,2)&amp;"/ ("&amp;ROUND(Worksheet!K317,2)&amp;")"&amp;ROUND(Worksheet!K$308*100,2))))</f>
        <v>n/a</v>
      </c>
    </row>
    <row r="13" spans="1:38" x14ac:dyDescent="0.25">
      <c r="A13" s="104">
        <f>Request!A17</f>
        <v>10</v>
      </c>
      <c r="B13" s="100">
        <f>Request!B17</f>
        <v>0</v>
      </c>
      <c r="C13" s="100"/>
      <c r="D13" s="101"/>
      <c r="E13" s="202" t="s">
        <v>156</v>
      </c>
      <c r="F13" s="212"/>
      <c r="G13" s="82">
        <f ca="1">IF(Request!M17&lt;&gt;"CAL 12/12",Worksheet!B398,Worksheet!L398)</f>
        <v>0</v>
      </c>
      <c r="H13" s="82" t="str">
        <f>IF(Request!H17="","",IF(Request!H17=0,"",IF(Request!F17=0,"",IF(Worksheet!$C$5=0,"",IF($Q13&lt;&gt;12,Worksheet!L398-Worksheet!B398,0)))))</f>
        <v/>
      </c>
      <c r="I13" s="82">
        <f ca="1">IF(Request!$M17&lt;&gt;"CAL 12/12",Worksheet!D398,Worksheet!N398)</f>
        <v>0</v>
      </c>
      <c r="J13" s="82" t="str">
        <f>IF(Request!I17="","",IF(Request!I17=0,"",IF(Request!F17=0,"",IF(Worksheet!$D$5=0,"",IF(Q13&lt;&gt;12,Worksheet!N398-Worksheet!D398,0)))))</f>
        <v/>
      </c>
      <c r="K13" s="82">
        <f ca="1">IF(Request!$M17&lt;&gt;"CAL 12/12",Worksheet!F398,Worksheet!P398)</f>
        <v>0</v>
      </c>
      <c r="L13" s="82" t="str">
        <f>IF(Request!J17="","",IF(Request!J17=0,"",IF(Request!F17=0,"",IF(Worksheet!$E$5=0,"",IF(Q13&lt;&gt;12,Worksheet!P398-Worksheet!F398,0)))))</f>
        <v/>
      </c>
      <c r="M13" s="82">
        <f ca="1">IF(Request!$M17&lt;&gt;"CAL 12/12",Worksheet!H398,Worksheet!R398)</f>
        <v>0</v>
      </c>
      <c r="N13" s="82" t="str">
        <f>IF(Request!K17="","",IF(Request!K17=0,"",IF(Request!F17=0,"",IF(Worksheet!$F$5=0,"",IF(Q13&lt;&gt;12,Worksheet!R398-Worksheet!H398,0)))))</f>
        <v/>
      </c>
      <c r="O13" s="82">
        <f ca="1">IF(Request!$M17&lt;&gt;"CAL 12/12",Worksheet!J398,Worksheet!T398)</f>
        <v>0</v>
      </c>
      <c r="P13" s="82" t="str">
        <f>IF(Request!L17="","",IF(Request!L17=0,"",IF(Request!F17=0,"",IF(Worksheet!$G$5=0,"",IF(Q13&lt;&gt;12,Worksheet!T398-Worksheet!J398,0)))))</f>
        <v/>
      </c>
      <c r="Q13" s="271">
        <f>IF(Request!M17="CAL 12/12",12,IF(Request!M17="AY 9/12",9,IF(Request!M17="AY 11/12",11,IF(Request!M17="SMR 9/12",9,IF(Request!M17="SMR 11/12",11)))))</f>
        <v>12</v>
      </c>
      <c r="R13" s="271" t="s">
        <v>53</v>
      </c>
      <c r="S13" s="212"/>
      <c r="T13" s="103">
        <f ca="1">IF(AND(G13=0,Request!$G17&lt;&gt;0),"Add Base Sal",IF('Personnel Reference'!G13=0,0,Request!P17/(G13/$Q13)))</f>
        <v>0</v>
      </c>
      <c r="U13" s="103">
        <f ca="1">IF(AND(I13=0,Request!$G17&lt;&gt;0),"Add Base Sal",IF('Personnel Reference'!I13=0,0,IF(I13="","",Request!Q17/(I13/$Q13))))</f>
        <v>0</v>
      </c>
      <c r="V13" s="103">
        <f ca="1">IF(AND(K13=0,Request!$G17&lt;&gt;0),"Add Base Sal",IF('Personnel Reference'!K13=0,0,IF(K13="","",Request!R17/(K13/$Q13))))</f>
        <v>0</v>
      </c>
      <c r="W13" s="103">
        <f ca="1">IF(AND(M13=0,Request!$G17&lt;&gt;0),"Add Base Sal",IF('Personnel Reference'!M13=0,0,IF(M13="","",Request!S17/(M13/$Q13))))</f>
        <v>0</v>
      </c>
      <c r="X13" s="103">
        <f ca="1">IF(AND(O13=0,Request!$G17&lt;&gt;0),"Add Base Sal",IF('Personnel Reference'!O13=0,0,IF(O13="","",Request!T17/(O13/$Q13))))</f>
        <v>0</v>
      </c>
      <c r="Y13" s="285" t="str">
        <f>IF(Request!M17="CAL 12/12","CAL",IF(Request!M17="AY 9/12","AY",IF(Request!M17="AY 11/12","AY",IF(Request!M17="SMR 9/12","SMR",IF(Request!M17="SMR 11/12","SMR")))))</f>
        <v>CAL</v>
      </c>
      <c r="Z13" s="212"/>
      <c r="AA13" s="82">
        <f ca="1">Request!P17+Request!P45</f>
        <v>0</v>
      </c>
      <c r="AB13" s="82">
        <f ca="1">Request!Q17+Request!Q45</f>
        <v>0</v>
      </c>
      <c r="AC13" s="82">
        <f ca="1">Request!R17+Request!R45</f>
        <v>0</v>
      </c>
      <c r="AD13" s="82">
        <f ca="1">Request!S17+Request!S45</f>
        <v>0</v>
      </c>
      <c r="AE13" s="82">
        <f ca="1">Request!T17+Request!T45</f>
        <v>0</v>
      </c>
      <c r="AF13" s="284">
        <f t="shared" ca="1" si="0"/>
        <v>0</v>
      </c>
      <c r="AG13" s="277"/>
      <c r="AH13" s="281" t="str">
        <f ca="1">IF(G13="","",IF(Worksheet!$L288="D","n/a",IF(Worksheet!B$308=Worksheet!C$308,"("&amp;ROUND(Worksheet!B318+Worksheet!C318,2)&amp;")"&amp;ROUND(Worksheet!B$308*100,2),"("&amp;ROUND(Worksheet!B318,2)&amp;")"&amp;ROUND(Worksheet!B$308*100,2)&amp;"/ ("&amp;ROUND(Worksheet!C318,2)&amp;")"&amp;ROUND(Worksheet!C$308*100,2))))</f>
        <v>n/a</v>
      </c>
      <c r="AI13" s="281" t="str">
        <f ca="1">IF(I13="","",IF(Worksheet!$L288="D","n/a",IF(Worksheet!D$308=Worksheet!E$308,"("&amp;ROUND(Worksheet!D318+Worksheet!E318,2)&amp;")"&amp;ROUND(Worksheet!D$308*100,2),"("&amp;ROUND(Worksheet!D318,2)&amp;")"&amp;ROUND(Worksheet!D$308*100,2)&amp;"/ ("&amp;ROUND(Worksheet!E318,2)&amp;")"&amp;ROUND(Worksheet!E$308*100,2))))</f>
        <v>n/a</v>
      </c>
      <c r="AJ13" s="281" t="str">
        <f ca="1">IF(K13="","",IF(Worksheet!$L288="D","n/a",IF(Worksheet!F$308=Worksheet!G$308,"("&amp;ROUND(Worksheet!F318+Worksheet!G318,2)&amp;")"&amp;ROUND(Worksheet!F$308*100,2),"("&amp;ROUND(Worksheet!F318,2)&amp;")"&amp;ROUND(Worksheet!F$308*100,2)&amp;"/ ("&amp;ROUND(Worksheet!G318,2)&amp;")"&amp;ROUND(Worksheet!G$308*100,2))))</f>
        <v>n/a</v>
      </c>
      <c r="AK13" s="281" t="str">
        <f ca="1">IF(M13="","",IF(Worksheet!$L288="D","n/a",IF(Worksheet!H$308=Worksheet!I$308,"("&amp;ROUND(Worksheet!H318+Worksheet!I318,2)&amp;")"&amp;ROUND(Worksheet!H$308*100,2),"("&amp;ROUND(Worksheet!H318,2)&amp;")"&amp;ROUND(Worksheet!H$308*100,2)&amp;"/ ("&amp;ROUND(Worksheet!I318,2)&amp;")"&amp;ROUND(Worksheet!I$308*100,2))))</f>
        <v>n/a</v>
      </c>
      <c r="AL13" s="281" t="str">
        <f ca="1">IF(O13="","",IF(Worksheet!$L288="D","n/a",IF(Worksheet!J$308=Worksheet!K$308,"("&amp;ROUND(Worksheet!J318+Worksheet!K318,2)&amp;")"&amp;ROUND(Worksheet!J$308*100,2),"("&amp;ROUND(Worksheet!J318,2)&amp;")"&amp;ROUND(Worksheet!J$308*100,2)&amp;"/ ("&amp;ROUND(Worksheet!K318,2)&amp;")"&amp;ROUND(Worksheet!K$308*100,2))))</f>
        <v>n/a</v>
      </c>
    </row>
    <row r="14" spans="1:38" x14ac:dyDescent="0.25">
      <c r="A14" s="104">
        <f>Request!A18</f>
        <v>11</v>
      </c>
      <c r="B14" s="100">
        <f>Request!B18</f>
        <v>0</v>
      </c>
      <c r="C14" s="100"/>
      <c r="D14" s="101"/>
      <c r="E14" s="202" t="s">
        <v>156</v>
      </c>
      <c r="F14" s="212"/>
      <c r="G14" s="82">
        <f ca="1">IF(Request!M18&lt;&gt;"CAL 12/12",Worksheet!B399,Worksheet!L399)</f>
        <v>0</v>
      </c>
      <c r="H14" s="82" t="str">
        <f>IF(Request!H18="","",IF(Request!H18=0,"",IF(Request!F18=0,"",IF(Worksheet!$C$5=0,"",IF($Q14&lt;&gt;12,Worksheet!L399-Worksheet!B399,0)))))</f>
        <v/>
      </c>
      <c r="I14" s="82">
        <f ca="1">IF(Request!$M18&lt;&gt;"CAL 12/12",Worksheet!D399,Worksheet!N399)</f>
        <v>0</v>
      </c>
      <c r="J14" s="82" t="str">
        <f>IF(Request!I18="","",IF(Request!I18=0,"",IF(Request!F18=0,"",IF(Worksheet!$D$5=0,"",IF(Q14&lt;&gt;12,Worksheet!N399-Worksheet!D399,0)))))</f>
        <v/>
      </c>
      <c r="K14" s="82">
        <f ca="1">IF(Request!$M18&lt;&gt;"CAL 12/12",Worksheet!F399,Worksheet!P399)</f>
        <v>0</v>
      </c>
      <c r="L14" s="82" t="str">
        <f>IF(Request!J18="","",IF(Request!J18=0,"",IF(Request!F18=0,"",IF(Worksheet!$E$5=0,"",IF(Q14&lt;&gt;12,Worksheet!P399-Worksheet!F399,0)))))</f>
        <v/>
      </c>
      <c r="M14" s="82">
        <f ca="1">IF(Request!$M18&lt;&gt;"CAL 12/12",Worksheet!H399,Worksheet!R399)</f>
        <v>0</v>
      </c>
      <c r="N14" s="82" t="str">
        <f>IF(Request!K18="","",IF(Request!K18=0,"",IF(Request!F18=0,"",IF(Worksheet!$F$5=0,"",IF(Q14&lt;&gt;12,Worksheet!R399-Worksheet!H399,0)))))</f>
        <v/>
      </c>
      <c r="O14" s="82">
        <f ca="1">IF(Request!$M18&lt;&gt;"CAL 12/12",Worksheet!J399,Worksheet!T399)</f>
        <v>0</v>
      </c>
      <c r="P14" s="82" t="str">
        <f>IF(Request!L18="","",IF(Request!L18=0,"",IF(Request!F18=0,"",IF(Worksheet!$G$5=0,"",IF(Q14&lt;&gt;12,Worksheet!T399-Worksheet!J399,0)))))</f>
        <v/>
      </c>
      <c r="Q14" s="271">
        <f>IF(Request!M18="CAL 12/12",12,IF(Request!M18="AY 9/12",9,IF(Request!M18="AY 11/12",11,IF(Request!M18="SMR 9/12",9,IF(Request!M18="SMR 11/12",11)))))</f>
        <v>12</v>
      </c>
      <c r="R14" s="271" t="s">
        <v>53</v>
      </c>
      <c r="S14" s="212"/>
      <c r="T14" s="103">
        <f ca="1">IF(AND(G14=0,Request!$G18&lt;&gt;0),"Add Base Sal",IF('Personnel Reference'!G14=0,0,Request!P18/(G14/$Q14)))</f>
        <v>0</v>
      </c>
      <c r="U14" s="103">
        <f ca="1">IF(AND(I14=0,Request!$G18&lt;&gt;0),"Add Base Sal",IF('Personnel Reference'!I14=0,0,IF(I14="","",Request!Q18/(I14/$Q14))))</f>
        <v>0</v>
      </c>
      <c r="V14" s="103">
        <f ca="1">IF(AND(K14=0,Request!$G18&lt;&gt;0),"Add Base Sal",IF('Personnel Reference'!K14=0,0,IF(K14="","",Request!R18/(K14/$Q14))))</f>
        <v>0</v>
      </c>
      <c r="W14" s="103">
        <f ca="1">IF(AND(M14=0,Request!$G18&lt;&gt;0),"Add Base Sal",IF('Personnel Reference'!M14=0,0,IF(M14="","",Request!S18/(M14/$Q14))))</f>
        <v>0</v>
      </c>
      <c r="X14" s="103">
        <f ca="1">IF(AND(O14=0,Request!$G18&lt;&gt;0),"Add Base Sal",IF('Personnel Reference'!O14=0,0,IF(O14="","",Request!T18/(O14/$Q14))))</f>
        <v>0</v>
      </c>
      <c r="Y14" s="285" t="str">
        <f>IF(Request!M18="CAL 12/12","CAL",IF(Request!M18="AY 9/12","AY",IF(Request!M18="AY 11/12","AY",IF(Request!M18="SMR 9/12","SMR",IF(Request!M18="SMR 11/12","SMR")))))</f>
        <v>CAL</v>
      </c>
      <c r="Z14" s="212"/>
      <c r="AA14" s="82">
        <f ca="1">Request!P18+Request!P46</f>
        <v>0</v>
      </c>
      <c r="AB14" s="82">
        <f ca="1">Request!Q18+Request!Q46</f>
        <v>0</v>
      </c>
      <c r="AC14" s="82">
        <f ca="1">Request!R18+Request!R46</f>
        <v>0</v>
      </c>
      <c r="AD14" s="82">
        <f ca="1">Request!S18+Request!S46</f>
        <v>0</v>
      </c>
      <c r="AE14" s="82">
        <f ca="1">Request!T18+Request!T46</f>
        <v>0</v>
      </c>
      <c r="AF14" s="284">
        <f t="shared" ca="1" si="0"/>
        <v>0</v>
      </c>
      <c r="AG14" s="277"/>
      <c r="AH14" s="281" t="str">
        <f ca="1">IF(G14="","",IF(Worksheet!$L289="D","n/a",IF(Worksheet!B$308=Worksheet!C$308,"("&amp;ROUND(Worksheet!B319+Worksheet!C319,2)&amp;")"&amp;ROUND(Worksheet!B$308*100,2),"("&amp;ROUND(Worksheet!B319,2)&amp;")"&amp;ROUND(Worksheet!B$308*100,2)&amp;"/ ("&amp;ROUND(Worksheet!C319,2)&amp;")"&amp;ROUND(Worksheet!C$308*100,2))))</f>
        <v>n/a</v>
      </c>
      <c r="AI14" s="281" t="str">
        <f ca="1">IF(I14="","",IF(Worksheet!$L289="D","n/a",IF(Worksheet!D$308=Worksheet!E$308,"("&amp;ROUND(Worksheet!D319+Worksheet!E319,2)&amp;")"&amp;ROUND(Worksheet!D$308*100,2),"("&amp;ROUND(Worksheet!D319,2)&amp;")"&amp;ROUND(Worksheet!D$308*100,2)&amp;"/ ("&amp;ROUND(Worksheet!E319,2)&amp;")"&amp;ROUND(Worksheet!E$308*100,2))))</f>
        <v>n/a</v>
      </c>
      <c r="AJ14" s="281" t="str">
        <f ca="1">IF(K14="","",IF(Worksheet!$L289="D","n/a",IF(Worksheet!F$308=Worksheet!G$308,"("&amp;ROUND(Worksheet!F319+Worksheet!G319,2)&amp;")"&amp;ROUND(Worksheet!F$308*100,2),"("&amp;ROUND(Worksheet!F319,2)&amp;")"&amp;ROUND(Worksheet!F$308*100,2)&amp;"/ ("&amp;ROUND(Worksheet!G319,2)&amp;")"&amp;ROUND(Worksheet!G$308*100,2))))</f>
        <v>n/a</v>
      </c>
      <c r="AK14" s="281" t="str">
        <f ca="1">IF(M14="","",IF(Worksheet!$L289="D","n/a",IF(Worksheet!H$308=Worksheet!I$308,"("&amp;ROUND(Worksheet!H319+Worksheet!I319,2)&amp;")"&amp;ROUND(Worksheet!H$308*100,2),"("&amp;ROUND(Worksheet!H319,2)&amp;")"&amp;ROUND(Worksheet!H$308*100,2)&amp;"/ ("&amp;ROUND(Worksheet!I319,2)&amp;")"&amp;ROUND(Worksheet!I$308*100,2))))</f>
        <v>n/a</v>
      </c>
      <c r="AL14" s="281" t="str">
        <f ca="1">IF(O14="","",IF(Worksheet!$L289="D","n/a",IF(Worksheet!J$308=Worksheet!K$308,"("&amp;ROUND(Worksheet!J319+Worksheet!K319,2)&amp;")"&amp;ROUND(Worksheet!J$308*100,2),"("&amp;ROUND(Worksheet!J319,2)&amp;")"&amp;ROUND(Worksheet!J$308*100,2)&amp;"/ ("&amp;ROUND(Worksheet!K319,2)&amp;")"&amp;ROUND(Worksheet!K$308*100,2))))</f>
        <v>n/a</v>
      </c>
    </row>
    <row r="15" spans="1:38" x14ac:dyDescent="0.25">
      <c r="A15" s="104">
        <f>Request!A19</f>
        <v>12</v>
      </c>
      <c r="B15" s="100">
        <f>Request!B19</f>
        <v>0</v>
      </c>
      <c r="C15" s="100"/>
      <c r="D15" s="101"/>
      <c r="E15" s="202" t="s">
        <v>156</v>
      </c>
      <c r="F15" s="212"/>
      <c r="G15" s="82">
        <f ca="1">IF(Request!M19&lt;&gt;"CAL 12/12",Worksheet!B400,Worksheet!L400)</f>
        <v>0</v>
      </c>
      <c r="H15" s="82" t="str">
        <f>IF(Request!H19="","",IF(Request!H19=0,"",IF(Request!F19=0,"",IF(Worksheet!$C$5=0,"",IF($Q15&lt;&gt;12,Worksheet!L400-Worksheet!B400,0)))))</f>
        <v/>
      </c>
      <c r="I15" s="82">
        <f ca="1">IF(Request!$M19&lt;&gt;"CAL 12/12",Worksheet!D400,Worksheet!N400)</f>
        <v>0</v>
      </c>
      <c r="J15" s="82" t="str">
        <f>IF(Request!I19="","",IF(Request!I19=0,"",IF(Request!F19=0,"",IF(Worksheet!$D$5=0,"",IF(Q15&lt;&gt;12,Worksheet!N400-Worksheet!D400,0)))))</f>
        <v/>
      </c>
      <c r="K15" s="82">
        <f ca="1">IF(Request!$M19&lt;&gt;"CAL 12/12",Worksheet!F400,Worksheet!P400)</f>
        <v>0</v>
      </c>
      <c r="L15" s="82" t="str">
        <f>IF(Request!J19="","",IF(Request!J19=0,"",IF(Request!F19=0,"",IF(Worksheet!$E$5=0,"",IF(Q15&lt;&gt;12,Worksheet!P400-Worksheet!F400,0)))))</f>
        <v/>
      </c>
      <c r="M15" s="82">
        <f ca="1">IF(Request!$M19&lt;&gt;"CAL 12/12",Worksheet!H400,Worksheet!R400)</f>
        <v>0</v>
      </c>
      <c r="N15" s="82" t="str">
        <f>IF(Request!K19="","",IF(Request!K19=0,"",IF(Request!F19=0,"",IF(Worksheet!$F$5=0,"",IF(Q15&lt;&gt;12,Worksheet!R400-Worksheet!H400,0)))))</f>
        <v/>
      </c>
      <c r="O15" s="82">
        <f ca="1">IF(Request!$M19&lt;&gt;"CAL 12/12",Worksheet!J400,Worksheet!T400)</f>
        <v>0</v>
      </c>
      <c r="P15" s="82" t="str">
        <f>IF(Request!L19="","",IF(Request!L19=0,"",IF(Request!F19=0,"",IF(Worksheet!$G$5=0,"",IF(Q15&lt;&gt;12,Worksheet!T400-Worksheet!J400,0)))))</f>
        <v/>
      </c>
      <c r="Q15" s="271">
        <f>IF(Request!M19="CAL 12/12",12,IF(Request!M19="AY 9/12",9,IF(Request!M19="AY 11/12",11,IF(Request!M19="SMR 9/12",9,IF(Request!M19="SMR 11/12",11)))))</f>
        <v>12</v>
      </c>
      <c r="R15" s="271" t="s">
        <v>53</v>
      </c>
      <c r="S15" s="212"/>
      <c r="T15" s="103">
        <f ca="1">IF(AND(G15=0,Request!$G19&lt;&gt;0),"Add Base Sal",IF('Personnel Reference'!G15=0,0,Request!P19/(G15/$Q15)))</f>
        <v>0</v>
      </c>
      <c r="U15" s="103">
        <f ca="1">IF(AND(I15=0,Request!$G19&lt;&gt;0),"Add Base Sal",IF('Personnel Reference'!I15=0,0,IF(I15="","",Request!Q19/(I15/$Q15))))</f>
        <v>0</v>
      </c>
      <c r="V15" s="103">
        <f ca="1">IF(AND(K15=0,Request!$G19&lt;&gt;0),"Add Base Sal",IF('Personnel Reference'!K15=0,0,IF(K15="","",Request!R19/(K15/$Q15))))</f>
        <v>0</v>
      </c>
      <c r="W15" s="103">
        <f ca="1">IF(AND(M15=0,Request!$G19&lt;&gt;0),"Add Base Sal",IF('Personnel Reference'!M15=0,0,IF(M15="","",Request!S19/(M15/$Q15))))</f>
        <v>0</v>
      </c>
      <c r="X15" s="103">
        <f ca="1">IF(AND(O15=0,Request!$G19&lt;&gt;0),"Add Base Sal",IF('Personnel Reference'!O15=0,0,IF(O15="","",Request!T19/(O15/$Q15))))</f>
        <v>0</v>
      </c>
      <c r="Y15" s="285" t="str">
        <f>IF(Request!M19="CAL 12/12","CAL",IF(Request!M19="AY 9/12","AY",IF(Request!M19="AY 11/12","AY",IF(Request!M19="SMR 9/12","SMR",IF(Request!M19="SMR 11/12","SMR")))))</f>
        <v>CAL</v>
      </c>
      <c r="Z15" s="212"/>
      <c r="AA15" s="82">
        <f ca="1">Request!P19+Request!P47</f>
        <v>0</v>
      </c>
      <c r="AB15" s="82">
        <f ca="1">Request!Q19+Request!Q47</f>
        <v>0</v>
      </c>
      <c r="AC15" s="82">
        <f ca="1">Request!R19+Request!R47</f>
        <v>0</v>
      </c>
      <c r="AD15" s="82">
        <f ca="1">Request!S19+Request!S47</f>
        <v>0</v>
      </c>
      <c r="AE15" s="82">
        <f ca="1">Request!T19+Request!T47</f>
        <v>0</v>
      </c>
      <c r="AF15" s="284">
        <f t="shared" ca="1" si="0"/>
        <v>0</v>
      </c>
      <c r="AG15" s="277"/>
      <c r="AH15" s="281" t="str">
        <f ca="1">IF(G15="","",IF(Worksheet!$L290="D","n/a",IF(Worksheet!B$308=Worksheet!C$308,"("&amp;ROUND(Worksheet!B320+Worksheet!C320,2)&amp;")"&amp;ROUND(Worksheet!B$308*100,2),"("&amp;ROUND(Worksheet!B320,2)&amp;")"&amp;ROUND(Worksheet!B$308*100,2)&amp;"/ ("&amp;ROUND(Worksheet!C320,2)&amp;")"&amp;ROUND(Worksheet!C$308*100,2))))</f>
        <v>n/a</v>
      </c>
      <c r="AI15" s="281" t="str">
        <f ca="1">IF(I15="","",IF(Worksheet!$L290="D","n/a",IF(Worksheet!D$308=Worksheet!E$308,"("&amp;ROUND(Worksheet!D320+Worksheet!E320,2)&amp;")"&amp;ROUND(Worksheet!D$308*100,2),"("&amp;ROUND(Worksheet!D320,2)&amp;")"&amp;ROUND(Worksheet!D$308*100,2)&amp;"/ ("&amp;ROUND(Worksheet!E320,2)&amp;")"&amp;ROUND(Worksheet!E$308*100,2))))</f>
        <v>n/a</v>
      </c>
      <c r="AJ15" s="281" t="str">
        <f ca="1">IF(K15="","",IF(Worksheet!$L290="D","n/a",IF(Worksheet!F$308=Worksheet!G$308,"("&amp;ROUND(Worksheet!F320+Worksheet!G320,2)&amp;")"&amp;ROUND(Worksheet!F$308*100,2),"("&amp;ROUND(Worksheet!F320,2)&amp;")"&amp;ROUND(Worksheet!F$308*100,2)&amp;"/ ("&amp;ROUND(Worksheet!G320,2)&amp;")"&amp;ROUND(Worksheet!G$308*100,2))))</f>
        <v>n/a</v>
      </c>
      <c r="AK15" s="281" t="str">
        <f ca="1">IF(M15="","",IF(Worksheet!$L290="D","n/a",IF(Worksheet!H$308=Worksheet!I$308,"("&amp;ROUND(Worksheet!H320+Worksheet!I320,2)&amp;")"&amp;ROUND(Worksheet!H$308*100,2),"("&amp;ROUND(Worksheet!H320,2)&amp;")"&amp;ROUND(Worksheet!H$308*100,2)&amp;"/ ("&amp;ROUND(Worksheet!I320,2)&amp;")"&amp;ROUND(Worksheet!I$308*100,2))))</f>
        <v>n/a</v>
      </c>
      <c r="AL15" s="281" t="str">
        <f ca="1">IF(O15="","",IF(Worksheet!$L290="D","n/a",IF(Worksheet!J$308=Worksheet!K$308,"("&amp;ROUND(Worksheet!J320+Worksheet!K320,2)&amp;")"&amp;ROUND(Worksheet!J$308*100,2),"("&amp;ROUND(Worksheet!J320,2)&amp;")"&amp;ROUND(Worksheet!J$308*100,2)&amp;"/ ("&amp;ROUND(Worksheet!K320,2)&amp;")"&amp;ROUND(Worksheet!K$308*100,2))))</f>
        <v>n/a</v>
      </c>
    </row>
    <row r="16" spans="1:38" hidden="1" x14ac:dyDescent="0.25">
      <c r="A16" s="104">
        <f>Request!A20</f>
        <v>13</v>
      </c>
      <c r="B16" s="100">
        <f>Request!B20</f>
        <v>0</v>
      </c>
      <c r="C16" s="100"/>
      <c r="D16" s="101"/>
      <c r="E16" s="186" t="s">
        <v>156</v>
      </c>
      <c r="F16" s="212"/>
      <c r="G16" s="82">
        <f ca="1">IF(Request!M20&lt;&gt;"CAL 12/12",Worksheet!B401,Worksheet!L401)</f>
        <v>100750</v>
      </c>
      <c r="H16" s="82" t="str">
        <f>IF(Request!H20="","",IF(Request!H20=0,"",IF(Request!F20=0,"",IF(Worksheet!$C$5=0,"",IF($Q16&lt;&gt;12,Worksheet!L401-Worksheet!B401,0)))))</f>
        <v/>
      </c>
      <c r="I16" s="82">
        <f ca="1">IF(Request!$M20&lt;&gt;"CAL 12/12",Worksheet!D401,Worksheet!N401)</f>
        <v>103773</v>
      </c>
      <c r="J16" s="82" t="str">
        <f>IF(Request!I20="","",IF(Request!I20=0,"",IF(Request!F20=0,"",IF(Worksheet!$D$5=0,"",IF(Q16&lt;&gt;12,Worksheet!N401-Worksheet!D401,0)))))</f>
        <v/>
      </c>
      <c r="K16" s="82">
        <f ca="1">IF(Request!$M20&lt;&gt;"CAL 12/12",Worksheet!F401,Worksheet!P401)</f>
        <v>106886</v>
      </c>
      <c r="L16" s="82" t="str">
        <f>IF(Request!J20="","",IF(Request!J20=0,"",IF(Request!F20=0,"",IF(Worksheet!$E$5=0,"",IF(Q16&lt;&gt;12,Worksheet!P401-Worksheet!F401,0)))))</f>
        <v/>
      </c>
      <c r="M16" s="82">
        <f ca="1">IF(Request!$M20&lt;&gt;"CAL 12/12",Worksheet!H401,Worksheet!R401)</f>
        <v>110092</v>
      </c>
      <c r="N16" s="82" t="str">
        <f>IF(Request!K20="","",IF(Request!K20=0,"",IF(Request!F20=0,"",IF(Worksheet!$F$5=0,"",IF(Q16&lt;&gt;12,Worksheet!R401-Worksheet!H401,0)))))</f>
        <v/>
      </c>
      <c r="O16" s="82">
        <f ca="1">IF(Request!$M20&lt;&gt;"CAL 12/12",Worksheet!J401,Worksheet!T401)</f>
        <v>113395</v>
      </c>
      <c r="P16" s="82" t="str">
        <f>IF(Request!L20="","",IF(Request!L20=0,"",IF(Request!F20=0,"",IF(Worksheet!$G$5=0,"",IF(Q16&lt;&gt;12,Worksheet!T401-Worksheet!J401,0)))))</f>
        <v/>
      </c>
      <c r="Q16" s="271">
        <f>IF(Request!M20="CAL 12/12",12,IF(Request!M20="AY 9/12",9,IF(Request!M20="AY 11/12",11,IF(Request!M20="SMR 9/12",9,IF(Request!M20="SMR 11/12",11)))))</f>
        <v>12</v>
      </c>
      <c r="R16" s="271" t="s">
        <v>53</v>
      </c>
      <c r="S16" s="212"/>
      <c r="T16" s="103">
        <f ca="1">IF(AND(G16=0,Request!$G20&lt;&gt;0),"Add Base Sal",IF('Personnel Reference'!G16=0,0,Request!P20/(G16/$Q16)))</f>
        <v>0</v>
      </c>
      <c r="U16" s="103">
        <f ca="1">IF(AND(I16=0,Request!$G20&lt;&gt;0),"Add Base Sal",IF('Personnel Reference'!I16=0,0,IF(I16="","",Request!Q20/(I16/$Q16))))</f>
        <v>0</v>
      </c>
      <c r="V16" s="103">
        <f ca="1">IF(AND(K16=0,Request!$G20&lt;&gt;0),"Add Base Sal",IF('Personnel Reference'!K16=0,0,IF(K16="","",Request!R20/(K16/$Q16))))</f>
        <v>0</v>
      </c>
      <c r="W16" s="103">
        <f ca="1">IF(AND(M16=0,Request!$G20&lt;&gt;0),"Add Base Sal",IF('Personnel Reference'!M16=0,0,IF(M16="","",Request!S20/(M16/$Q16))))</f>
        <v>0</v>
      </c>
      <c r="X16" s="103">
        <f ca="1">IF(AND(O16=0,Request!$G20&lt;&gt;0),"Add Base Sal",IF('Personnel Reference'!O16=0,0,IF(O16="","",Request!T20/(O16/$Q16))))</f>
        <v>0</v>
      </c>
      <c r="Y16" s="285" t="str">
        <f>IF(Request!M20="CAL 12/12","CAL",IF(Request!M20="AY 9/12","AY",IF(Request!M20="AY 11/12","AY",IF(Request!M20="SMR 9/12","SMR",IF(Request!M20="SMR 11/12","SMR")))))</f>
        <v>CAL</v>
      </c>
      <c r="Z16" s="212"/>
      <c r="AA16" s="82">
        <f ca="1">Request!P20+Request!P48</f>
        <v>0</v>
      </c>
      <c r="AB16" s="82">
        <f ca="1">Request!Q20+Request!Q48</f>
        <v>0</v>
      </c>
      <c r="AC16" s="82">
        <f ca="1">Request!R20+Request!R48</f>
        <v>0</v>
      </c>
      <c r="AD16" s="82">
        <f ca="1">Request!S20+Request!S48</f>
        <v>0</v>
      </c>
      <c r="AE16" s="82">
        <f ca="1">Request!T20+Request!T48</f>
        <v>0</v>
      </c>
      <c r="AF16" s="284">
        <f t="shared" ca="1" si="0"/>
        <v>0</v>
      </c>
      <c r="AG16" s="277"/>
      <c r="AH16" s="281" t="str">
        <f ca="1">IF(G16="","",IF(Worksheet!$L291="D","n/a",IF(Worksheet!B$308=Worksheet!C$308,"("&amp;ROUND(Worksheet!B321+Worksheet!C321,2)&amp;")"&amp;ROUND(Worksheet!B$308*100,2),"("&amp;ROUND(Worksheet!B321,2)&amp;")"&amp;ROUND(Worksheet!B$308*100,2)&amp;"/ ("&amp;ROUND(Worksheet!C321,2)&amp;")"&amp;ROUND(Worksheet!C$308*100,2))))</f>
        <v>n/a</v>
      </c>
      <c r="AI16" s="281" t="str">
        <f ca="1">IF(I16="","",IF(Worksheet!$L291="D","n/a",IF(Worksheet!D$308=Worksheet!E$308,"("&amp;ROUND(Worksheet!D321+Worksheet!E321,2)&amp;")"&amp;ROUND(Worksheet!D$308*100,2),"("&amp;ROUND(Worksheet!D321,2)&amp;")"&amp;ROUND(Worksheet!D$308*100,2)&amp;"/ ("&amp;ROUND(Worksheet!E321,2)&amp;")"&amp;ROUND(Worksheet!E$308*100,2))))</f>
        <v>n/a</v>
      </c>
      <c r="AJ16" s="281" t="str">
        <f ca="1">IF(K16="","",IF(Worksheet!$L291="D","n/a",IF(Worksheet!F$308=Worksheet!G$308,"("&amp;ROUND(Worksheet!F321+Worksheet!G321,2)&amp;")"&amp;ROUND(Worksheet!F$308*100,2),"("&amp;ROUND(Worksheet!F321,2)&amp;")"&amp;ROUND(Worksheet!F$308*100,2)&amp;"/ ("&amp;ROUND(Worksheet!G321,2)&amp;")"&amp;ROUND(Worksheet!G$308*100,2))))</f>
        <v>n/a</v>
      </c>
      <c r="AK16" s="281" t="str">
        <f ca="1">IF(M16="","",IF(Worksheet!$L291="D","n/a",IF(Worksheet!H$308=Worksheet!I$308,"("&amp;ROUND(Worksheet!H321+Worksheet!I321,2)&amp;")"&amp;ROUND(Worksheet!H$308*100,2),"("&amp;ROUND(Worksheet!H321,2)&amp;")"&amp;ROUND(Worksheet!H$308*100,2)&amp;"/ ("&amp;ROUND(Worksheet!I321,2)&amp;")"&amp;ROUND(Worksheet!I$308*100,2))))</f>
        <v>n/a</v>
      </c>
      <c r="AL16" s="281" t="str">
        <f ca="1">IF(O16="","",IF(Worksheet!$L291="D","n/a",IF(Worksheet!J$308=Worksheet!K$308,"("&amp;ROUND(Worksheet!J321+Worksheet!K321,2)&amp;")"&amp;ROUND(Worksheet!J$308*100,2),"("&amp;ROUND(Worksheet!J321,2)&amp;")"&amp;ROUND(Worksheet!J$308*100,2)&amp;"/ ("&amp;ROUND(Worksheet!K321,2)&amp;")"&amp;ROUND(Worksheet!K$308*100,2))))</f>
        <v>n/a</v>
      </c>
    </row>
    <row r="17" spans="1:38" hidden="1" x14ac:dyDescent="0.25">
      <c r="A17" s="104">
        <f>Request!A21</f>
        <v>14</v>
      </c>
      <c r="B17" s="100">
        <f>Request!B21</f>
        <v>0</v>
      </c>
      <c r="C17" s="100"/>
      <c r="D17" s="101"/>
      <c r="E17" s="186" t="s">
        <v>156</v>
      </c>
      <c r="F17" s="212"/>
      <c r="G17" s="82">
        <f ca="1">IF(Request!M21&lt;&gt;"CAL 12/12",Worksheet!B402,Worksheet!L402)</f>
        <v>100750</v>
      </c>
      <c r="H17" s="82" t="str">
        <f>IF(Request!H21="","",IF(Request!H21=0,"",IF(Request!F21=0,"",IF(Worksheet!$C$5=0,"",IF($Q17&lt;&gt;12,Worksheet!L402-Worksheet!B402,0)))))</f>
        <v/>
      </c>
      <c r="I17" s="82">
        <f ca="1">IF(Request!$M21&lt;&gt;"CAL 12/12",Worksheet!D402,Worksheet!N402)</f>
        <v>103773</v>
      </c>
      <c r="J17" s="82" t="str">
        <f>IF(Request!I21="","",IF(Request!I21=0,"",IF(Request!F21=0,"",IF(Worksheet!$D$5=0,"",IF(Q17&lt;&gt;12,Worksheet!N402-Worksheet!D402,0)))))</f>
        <v/>
      </c>
      <c r="K17" s="82">
        <f ca="1">IF(Request!$M21&lt;&gt;"CAL 12/12",Worksheet!F402,Worksheet!P402)</f>
        <v>106886</v>
      </c>
      <c r="L17" s="82" t="str">
        <f>IF(Request!J21="","",IF(Request!J21=0,"",IF(Request!F21=0,"",IF(Worksheet!$E$5=0,"",IF(Q17&lt;&gt;12,Worksheet!P402-Worksheet!F402,0)))))</f>
        <v/>
      </c>
      <c r="M17" s="82">
        <f ca="1">IF(Request!$M21&lt;&gt;"CAL 12/12",Worksheet!H402,Worksheet!R402)</f>
        <v>110092</v>
      </c>
      <c r="N17" s="82" t="str">
        <f>IF(Request!K21="","",IF(Request!K21=0,"",IF(Request!F21=0,"",IF(Worksheet!$F$5=0,"",IF(Q17&lt;&gt;12,Worksheet!R402-Worksheet!H402,0)))))</f>
        <v/>
      </c>
      <c r="O17" s="82">
        <f ca="1">IF(Request!$M21&lt;&gt;"CAL 12/12",Worksheet!J402,Worksheet!T402)</f>
        <v>113395</v>
      </c>
      <c r="P17" s="82" t="str">
        <f>IF(Request!L21="","",IF(Request!L21=0,"",IF(Request!F21=0,"",IF(Worksheet!$G$5=0,"",IF(Q17&lt;&gt;12,Worksheet!T402-Worksheet!J402,0)))))</f>
        <v/>
      </c>
      <c r="Q17" s="271">
        <f>IF(Request!M21="CAL 12/12",12,IF(Request!M21="AY 9/12",9,IF(Request!M21="AY 11/12",11,IF(Request!M21="SMR 9/12",9,IF(Request!M21="SMR 11/12",11)))))</f>
        <v>12</v>
      </c>
      <c r="R17" s="271" t="s">
        <v>53</v>
      </c>
      <c r="S17" s="212"/>
      <c r="T17" s="103">
        <f ca="1">IF(AND(G17=0,Request!$G21&lt;&gt;0),"Add Base Sal",IF('Personnel Reference'!G17=0,0,Request!P21/(G17/$Q17)))</f>
        <v>0</v>
      </c>
      <c r="U17" s="103">
        <f ca="1">IF(AND(I17=0,Request!$G21&lt;&gt;0),"Add Base Sal",IF('Personnel Reference'!I17=0,0,IF(I17="","",Request!Q21/(I17/$Q17))))</f>
        <v>0</v>
      </c>
      <c r="V17" s="103">
        <f ca="1">IF(AND(K17=0,Request!$G21&lt;&gt;0),"Add Base Sal",IF('Personnel Reference'!K17=0,0,IF(K17="","",Request!R21/(K17/$Q17))))</f>
        <v>0</v>
      </c>
      <c r="W17" s="103">
        <f ca="1">IF(AND(M17=0,Request!$G21&lt;&gt;0),"Add Base Sal",IF('Personnel Reference'!M17=0,0,IF(M17="","",Request!S21/(M17/$Q17))))</f>
        <v>0</v>
      </c>
      <c r="X17" s="103">
        <f ca="1">IF(AND(O17=0,Request!$G21&lt;&gt;0),"Add Base Sal",IF('Personnel Reference'!O17=0,0,IF(O17="","",Request!T21/(O17/$Q17))))</f>
        <v>0</v>
      </c>
      <c r="Y17" s="285" t="str">
        <f>IF(Request!M21="CAL 12/12","CAL",IF(Request!M21="AY 9/12","AY",IF(Request!M21="AY 11/12","AY",IF(Request!M21="SMR 9/12","SMR",IF(Request!M21="SMR 11/12","SMR")))))</f>
        <v>CAL</v>
      </c>
      <c r="Z17" s="212"/>
      <c r="AA17" s="82">
        <f ca="1">Request!P21+Request!P49</f>
        <v>0</v>
      </c>
      <c r="AB17" s="82">
        <f ca="1">Request!Q21+Request!Q49</f>
        <v>0</v>
      </c>
      <c r="AC17" s="82">
        <f ca="1">Request!R21+Request!R49</f>
        <v>0</v>
      </c>
      <c r="AD17" s="82">
        <f ca="1">Request!S21+Request!S49</f>
        <v>0</v>
      </c>
      <c r="AE17" s="82">
        <f ca="1">Request!T21+Request!T49</f>
        <v>0</v>
      </c>
      <c r="AF17" s="284">
        <f t="shared" ca="1" si="0"/>
        <v>0</v>
      </c>
      <c r="AG17" s="277"/>
      <c r="AH17" s="281" t="str">
        <f ca="1">IF(G17="","",IF(Worksheet!$L292="D","n/a",IF(Worksheet!B$308=Worksheet!C$308,"("&amp;ROUND(Worksheet!B322+Worksheet!C322,2)&amp;")"&amp;ROUND(Worksheet!B$308*100,2),"("&amp;ROUND(Worksheet!B322,2)&amp;")"&amp;ROUND(Worksheet!B$308*100,2)&amp;"/ ("&amp;ROUND(Worksheet!C322,2)&amp;")"&amp;ROUND(Worksheet!C$308*100,2))))</f>
        <v>n/a</v>
      </c>
      <c r="AI17" s="281" t="str">
        <f ca="1">IF(I17="","",IF(Worksheet!$L292="D","n/a",IF(Worksheet!D$308=Worksheet!E$308,"("&amp;ROUND(Worksheet!D322+Worksheet!E322,2)&amp;")"&amp;ROUND(Worksheet!D$308*100,2),"("&amp;ROUND(Worksheet!D322,2)&amp;")"&amp;ROUND(Worksheet!D$308*100,2)&amp;"/ ("&amp;ROUND(Worksheet!E322,2)&amp;")"&amp;ROUND(Worksheet!E$308*100,2))))</f>
        <v>n/a</v>
      </c>
      <c r="AJ17" s="281" t="str">
        <f ca="1">IF(K17="","",IF(Worksheet!$L292="D","n/a",IF(Worksheet!F$308=Worksheet!G$308,"("&amp;ROUND(Worksheet!F322+Worksheet!G322,2)&amp;")"&amp;ROUND(Worksheet!F$308*100,2),"("&amp;ROUND(Worksheet!F322,2)&amp;")"&amp;ROUND(Worksheet!F$308*100,2)&amp;"/ ("&amp;ROUND(Worksheet!G322,2)&amp;")"&amp;ROUND(Worksheet!G$308*100,2))))</f>
        <v>n/a</v>
      </c>
      <c r="AK17" s="281" t="str">
        <f ca="1">IF(M17="","",IF(Worksheet!$L292="D","n/a",IF(Worksheet!H$308=Worksheet!I$308,"("&amp;ROUND(Worksheet!H322+Worksheet!I322,2)&amp;")"&amp;ROUND(Worksheet!H$308*100,2),"("&amp;ROUND(Worksheet!H322,2)&amp;")"&amp;ROUND(Worksheet!H$308*100,2)&amp;"/ ("&amp;ROUND(Worksheet!I322,2)&amp;")"&amp;ROUND(Worksheet!I$308*100,2))))</f>
        <v>n/a</v>
      </c>
      <c r="AL17" s="281" t="str">
        <f ca="1">IF(O17="","",IF(Worksheet!$L292="D","n/a",IF(Worksheet!J$308=Worksheet!K$308,"("&amp;ROUND(Worksheet!J322+Worksheet!K322,2)&amp;")"&amp;ROUND(Worksheet!J$308*100,2),"("&amp;ROUND(Worksheet!J322,2)&amp;")"&amp;ROUND(Worksheet!J$308*100,2)&amp;"/ ("&amp;ROUND(Worksheet!K322,2)&amp;")"&amp;ROUND(Worksheet!K$308*100,2))))</f>
        <v>n/a</v>
      </c>
    </row>
    <row r="18" spans="1:38" hidden="1" x14ac:dyDescent="0.25">
      <c r="A18" s="104">
        <f>Request!A22</f>
        <v>15</v>
      </c>
      <c r="B18" s="100">
        <f>Request!B22</f>
        <v>0</v>
      </c>
      <c r="C18" s="100"/>
      <c r="D18" s="101"/>
      <c r="E18" s="186" t="s">
        <v>156</v>
      </c>
      <c r="F18" s="212"/>
      <c r="G18" s="82">
        <f ca="1">IF(Request!M22&lt;&gt;"CAL 12/12",Worksheet!B403,Worksheet!L403)</f>
        <v>100750</v>
      </c>
      <c r="H18" s="82" t="str">
        <f>IF(Request!H22="","",IF(Request!H22=0,"",IF(Request!F22=0,"",IF(Worksheet!$C$5=0,"",IF($Q18&lt;&gt;12,Worksheet!L403-Worksheet!B403,0)))))</f>
        <v/>
      </c>
      <c r="I18" s="82">
        <f ca="1">IF(Request!$M22&lt;&gt;"CAL 12/12",Worksheet!D403,Worksheet!N403)</f>
        <v>103773</v>
      </c>
      <c r="J18" s="82" t="str">
        <f>IF(Request!I22="","",IF(Request!I22=0,"",IF(Request!F22=0,"",IF(Worksheet!$D$5=0,"",IF(Q18&lt;&gt;12,Worksheet!N403-Worksheet!D403,0)))))</f>
        <v/>
      </c>
      <c r="K18" s="82">
        <f ca="1">IF(Request!$M22&lt;&gt;"CAL 12/12",Worksheet!F403,Worksheet!P403)</f>
        <v>106886</v>
      </c>
      <c r="L18" s="82" t="str">
        <f>IF(Request!J22="","",IF(Request!J22=0,"",IF(Request!F22=0,"",IF(Worksheet!$E$5=0,"",IF(Q18&lt;&gt;12,Worksheet!P403-Worksheet!F403,0)))))</f>
        <v/>
      </c>
      <c r="M18" s="82">
        <f ca="1">IF(Request!$M22&lt;&gt;"CAL 12/12",Worksheet!H403,Worksheet!R403)</f>
        <v>110092</v>
      </c>
      <c r="N18" s="82" t="str">
        <f>IF(Request!K22="","",IF(Request!K22=0,"",IF(Request!F22=0,"",IF(Worksheet!$F$5=0,"",IF(Q18&lt;&gt;12,Worksheet!R403-Worksheet!H403,0)))))</f>
        <v/>
      </c>
      <c r="O18" s="82">
        <f ca="1">IF(Request!$M22&lt;&gt;"CAL 12/12",Worksheet!J403,Worksheet!T403)</f>
        <v>113395</v>
      </c>
      <c r="P18" s="82" t="str">
        <f>IF(Request!L22="","",IF(Request!L22=0,"",IF(Request!F22=0,"",IF(Worksheet!$G$5=0,"",IF(Q18&lt;&gt;12,Worksheet!T403-Worksheet!J403,0)))))</f>
        <v/>
      </c>
      <c r="Q18" s="271">
        <f>IF(Request!M22="CAL 12/12",12,IF(Request!M22="AY 9/12",9,IF(Request!M22="AY 11/12",11,IF(Request!M22="SMR 9/12",9,IF(Request!M22="SMR 11/12",11)))))</f>
        <v>12</v>
      </c>
      <c r="R18" s="271" t="s">
        <v>53</v>
      </c>
      <c r="S18" s="212"/>
      <c r="T18" s="103">
        <f ca="1">IF(AND(G18=0,Request!$G22&lt;&gt;0),"Add Base Sal",IF('Personnel Reference'!G18=0,0,Request!P22/(G18/$Q18)))</f>
        <v>0</v>
      </c>
      <c r="U18" s="103">
        <f ca="1">IF(AND(I18=0,Request!$G22&lt;&gt;0),"Add Base Sal",IF('Personnel Reference'!I18=0,0,IF(I18="","",Request!Q22/(I18/$Q18))))</f>
        <v>0</v>
      </c>
      <c r="V18" s="103">
        <f ca="1">IF(AND(K18=0,Request!$G22&lt;&gt;0),"Add Base Sal",IF('Personnel Reference'!K18=0,0,IF(K18="","",Request!R22/(K18/$Q18))))</f>
        <v>0</v>
      </c>
      <c r="W18" s="103">
        <f ca="1">IF(AND(M18=0,Request!$G22&lt;&gt;0),"Add Base Sal",IF('Personnel Reference'!M18=0,0,IF(M18="","",Request!S22/(M18/$Q18))))</f>
        <v>0</v>
      </c>
      <c r="X18" s="103">
        <f ca="1">IF(AND(O18=0,Request!$G22&lt;&gt;0),"Add Base Sal",IF('Personnel Reference'!O18=0,0,IF(O18="","",Request!T22/(O18/$Q18))))</f>
        <v>0</v>
      </c>
      <c r="Y18" s="285" t="str">
        <f>IF(Request!M22="CAL 12/12","CAL",IF(Request!M22="AY 9/12","AY",IF(Request!M22="AY 11/12","AY",IF(Request!M22="SMR 9/12","SMR",IF(Request!M22="SMR 11/12","SMR")))))</f>
        <v>CAL</v>
      </c>
      <c r="Z18" s="212"/>
      <c r="AA18" s="82">
        <f ca="1">Request!P22+Request!P50</f>
        <v>0</v>
      </c>
      <c r="AB18" s="82">
        <f ca="1">Request!Q22+Request!Q50</f>
        <v>0</v>
      </c>
      <c r="AC18" s="82">
        <f ca="1">Request!R22+Request!R50</f>
        <v>0</v>
      </c>
      <c r="AD18" s="82">
        <f ca="1">Request!S22+Request!S50</f>
        <v>0</v>
      </c>
      <c r="AE18" s="82">
        <f ca="1">Request!T22+Request!T50</f>
        <v>0</v>
      </c>
      <c r="AF18" s="284">
        <f t="shared" ca="1" si="0"/>
        <v>0</v>
      </c>
      <c r="AG18" s="277"/>
      <c r="AH18" s="281" t="str">
        <f ca="1">IF(G18="","",IF(Worksheet!$L293="D","n/a",IF(Worksheet!B$308=Worksheet!C$308,"("&amp;ROUND(Worksheet!B323+Worksheet!C323,2)&amp;")"&amp;ROUND(Worksheet!B$308*100,2),"("&amp;ROUND(Worksheet!B323,2)&amp;")"&amp;ROUND(Worksheet!B$308*100,2)&amp;"/ ("&amp;ROUND(Worksheet!C323,2)&amp;")"&amp;ROUND(Worksheet!C$308*100,2))))</f>
        <v>n/a</v>
      </c>
      <c r="AI18" s="281" t="str">
        <f ca="1">IF(I18="","",IF(Worksheet!$L293="D","n/a",IF(Worksheet!D$308=Worksheet!E$308,"("&amp;ROUND(Worksheet!D323+Worksheet!E323,2)&amp;")"&amp;ROUND(Worksheet!D$308*100,2),"("&amp;ROUND(Worksheet!D323,2)&amp;")"&amp;ROUND(Worksheet!D$308*100,2)&amp;"/ ("&amp;ROUND(Worksheet!E323,2)&amp;")"&amp;ROUND(Worksheet!E$308*100,2))))</f>
        <v>n/a</v>
      </c>
      <c r="AJ18" s="281" t="str">
        <f ca="1">IF(K18="","",IF(Worksheet!$L293="D","n/a",IF(Worksheet!F$308=Worksheet!G$308,"("&amp;ROUND(Worksheet!F323+Worksheet!G323,2)&amp;")"&amp;ROUND(Worksheet!F$308*100,2),"("&amp;ROUND(Worksheet!F323,2)&amp;")"&amp;ROUND(Worksheet!F$308*100,2)&amp;"/ ("&amp;ROUND(Worksheet!G323,2)&amp;")"&amp;ROUND(Worksheet!G$308*100,2))))</f>
        <v>n/a</v>
      </c>
      <c r="AK18" s="281" t="str">
        <f ca="1">IF(M18="","",IF(Worksheet!$L293="D","n/a",IF(Worksheet!H$308=Worksheet!I$308,"("&amp;ROUND(Worksheet!H323+Worksheet!I323,2)&amp;")"&amp;ROUND(Worksheet!H$308*100,2),"("&amp;ROUND(Worksheet!H323,2)&amp;")"&amp;ROUND(Worksheet!H$308*100,2)&amp;"/ ("&amp;ROUND(Worksheet!I323,2)&amp;")"&amp;ROUND(Worksheet!I$308*100,2))))</f>
        <v>n/a</v>
      </c>
      <c r="AL18" s="281" t="str">
        <f ca="1">IF(O18="","",IF(Worksheet!$L293="D","n/a",IF(Worksheet!J$308=Worksheet!K$308,"("&amp;ROUND(Worksheet!J323+Worksheet!K323,2)&amp;")"&amp;ROUND(Worksheet!J$308*100,2),"("&amp;ROUND(Worksheet!J323,2)&amp;")"&amp;ROUND(Worksheet!J$308*100,2)&amp;"/ ("&amp;ROUND(Worksheet!K323,2)&amp;")"&amp;ROUND(Worksheet!K$308*100,2))))</f>
        <v>n/a</v>
      </c>
    </row>
    <row r="19" spans="1:38" hidden="1" x14ac:dyDescent="0.25">
      <c r="A19" s="104">
        <f>Request!A23</f>
        <v>16</v>
      </c>
      <c r="B19" s="100">
        <f>Request!B23</f>
        <v>0</v>
      </c>
      <c r="C19" s="100"/>
      <c r="D19" s="101"/>
      <c r="E19" s="186" t="s">
        <v>156</v>
      </c>
      <c r="F19" s="212"/>
      <c r="G19" s="82">
        <f ca="1">IF(Request!M23&lt;&gt;"CAL 12/12",Worksheet!B404,Worksheet!L404)</f>
        <v>100750</v>
      </c>
      <c r="H19" s="82" t="str">
        <f>IF(Request!H23="","",IF(Request!H23=0,"",IF(Request!F23=0,"",IF(Worksheet!$C$5=0,"",IF($Q19&lt;&gt;12,Worksheet!L404-Worksheet!B404,0)))))</f>
        <v/>
      </c>
      <c r="I19" s="82">
        <f ca="1">IF(Request!$M23&lt;&gt;"CAL 12/12",Worksheet!D404,Worksheet!N404)</f>
        <v>103773</v>
      </c>
      <c r="J19" s="82" t="str">
        <f>IF(Request!I23="","",IF(Request!I23=0,"",IF(Request!F23=0,"",IF(Worksheet!$D$5=0,"",IF(Q19&lt;&gt;12,Worksheet!N404-Worksheet!D404,0)))))</f>
        <v/>
      </c>
      <c r="K19" s="82">
        <f ca="1">IF(Request!$M23&lt;&gt;"CAL 12/12",Worksheet!F404,Worksheet!P404)</f>
        <v>106886</v>
      </c>
      <c r="L19" s="82" t="str">
        <f>IF(Request!J23="","",IF(Request!J23=0,"",IF(Request!F23=0,"",IF(Worksheet!$E$5=0,"",IF(Q19&lt;&gt;12,Worksheet!P404-Worksheet!F404,0)))))</f>
        <v/>
      </c>
      <c r="M19" s="82">
        <f ca="1">IF(Request!$M23&lt;&gt;"CAL 12/12",Worksheet!H404,Worksheet!R404)</f>
        <v>110092</v>
      </c>
      <c r="N19" s="82" t="str">
        <f>IF(Request!K23="","",IF(Request!K23=0,"",IF(Request!F23=0,"",IF(Worksheet!$F$5=0,"",IF(Q19&lt;&gt;12,Worksheet!R404-Worksheet!H404,0)))))</f>
        <v/>
      </c>
      <c r="O19" s="82">
        <f ca="1">IF(Request!$M23&lt;&gt;"CAL 12/12",Worksheet!J404,Worksheet!T404)</f>
        <v>113395</v>
      </c>
      <c r="P19" s="82" t="str">
        <f>IF(Request!L23="","",IF(Request!L23=0,"",IF(Request!F23=0,"",IF(Worksheet!$G$5=0,"",IF(Q19&lt;&gt;12,Worksheet!T404-Worksheet!J404,0)))))</f>
        <v/>
      </c>
      <c r="Q19" s="271">
        <f>IF(Request!M23="CAL 12/12",12,IF(Request!M23="AY 9/12",9,IF(Request!M23="AY 11/12",11,IF(Request!M23="SMR 9/12",9,IF(Request!M23="SMR 11/12",11)))))</f>
        <v>12</v>
      </c>
      <c r="R19" s="271" t="s">
        <v>53</v>
      </c>
      <c r="S19" s="212"/>
      <c r="T19" s="103">
        <f ca="1">IF(AND(G19=0,Request!$G23&lt;&gt;0),"Add Base Sal",IF('Personnel Reference'!G19=0,0,Request!P23/(G19/$Q19)))</f>
        <v>0</v>
      </c>
      <c r="U19" s="103">
        <f ca="1">IF(AND(I19=0,Request!$G23&lt;&gt;0),"Add Base Sal",IF('Personnel Reference'!I19=0,0,IF(I19="","",Request!Q23/(I19/$Q19))))</f>
        <v>0</v>
      </c>
      <c r="V19" s="103">
        <f ca="1">IF(AND(K19=0,Request!$G23&lt;&gt;0),"Add Base Sal",IF('Personnel Reference'!K19=0,0,IF(K19="","",Request!R23/(K19/$Q19))))</f>
        <v>0</v>
      </c>
      <c r="W19" s="103">
        <f ca="1">IF(AND(M19=0,Request!$G23&lt;&gt;0),"Add Base Sal",IF('Personnel Reference'!M19=0,0,IF(M19="","",Request!S23/(M19/$Q19))))</f>
        <v>0</v>
      </c>
      <c r="X19" s="103">
        <f ca="1">IF(AND(O19=0,Request!$G23&lt;&gt;0),"Add Base Sal",IF('Personnel Reference'!O19=0,0,IF(O19="","",Request!T23/(O19/$Q19))))</f>
        <v>0</v>
      </c>
      <c r="Y19" s="285" t="str">
        <f>IF(Request!M23="CAL 12/12","CAL",IF(Request!M23="AY 9/12","AY",IF(Request!M23="AY 11/12","AY",IF(Request!M23="SMR 9/12","SMR",IF(Request!M23="SMR 11/12","SMR")))))</f>
        <v>CAL</v>
      </c>
      <c r="Z19" s="212"/>
      <c r="AA19" s="82">
        <f ca="1">Request!P23+Request!P51</f>
        <v>0</v>
      </c>
      <c r="AB19" s="82">
        <f ca="1">Request!Q23+Request!Q51</f>
        <v>0</v>
      </c>
      <c r="AC19" s="82">
        <f ca="1">Request!R23+Request!R51</f>
        <v>0</v>
      </c>
      <c r="AD19" s="82">
        <f ca="1">Request!S23+Request!S51</f>
        <v>0</v>
      </c>
      <c r="AE19" s="82">
        <f ca="1">Request!T23+Request!T51</f>
        <v>0</v>
      </c>
      <c r="AF19" s="284">
        <f t="shared" ca="1" si="0"/>
        <v>0</v>
      </c>
      <c r="AG19" s="277"/>
      <c r="AH19" s="281" t="str">
        <f ca="1">IF(G19="","",IF(Worksheet!$L294="D","n/a",IF(Worksheet!B$308=Worksheet!C$308,"("&amp;ROUND(Worksheet!B324+Worksheet!C324,2)&amp;")"&amp;ROUND(Worksheet!B$308*100,2),"("&amp;ROUND(Worksheet!B324,2)&amp;")"&amp;ROUND(Worksheet!B$308*100,2)&amp;"/ ("&amp;ROUND(Worksheet!C324,2)&amp;")"&amp;ROUND(Worksheet!C$308*100,2))))</f>
        <v>n/a</v>
      </c>
      <c r="AI19" s="281" t="str">
        <f ca="1">IF(I19="","",IF(Worksheet!$L294="D","n/a",IF(Worksheet!D$308=Worksheet!E$308,"("&amp;ROUND(Worksheet!D324+Worksheet!E324,2)&amp;")"&amp;ROUND(Worksheet!D$308*100,2),"("&amp;ROUND(Worksheet!D324,2)&amp;")"&amp;ROUND(Worksheet!D$308*100,2)&amp;"/ ("&amp;ROUND(Worksheet!E324,2)&amp;")"&amp;ROUND(Worksheet!E$308*100,2))))</f>
        <v>n/a</v>
      </c>
      <c r="AJ19" s="281" t="str">
        <f ca="1">IF(K19="","",IF(Worksheet!$L294="D","n/a",IF(Worksheet!F$308=Worksheet!G$308,"("&amp;ROUND(Worksheet!F324+Worksheet!G324,2)&amp;")"&amp;ROUND(Worksheet!F$308*100,2),"("&amp;ROUND(Worksheet!F324,2)&amp;")"&amp;ROUND(Worksheet!F$308*100,2)&amp;"/ ("&amp;ROUND(Worksheet!G324,2)&amp;")"&amp;ROUND(Worksheet!G$308*100,2))))</f>
        <v>n/a</v>
      </c>
      <c r="AK19" s="281" t="str">
        <f ca="1">IF(M19="","",IF(Worksheet!$L294="D","n/a",IF(Worksheet!H$308=Worksheet!I$308,"("&amp;ROUND(Worksheet!H324+Worksheet!I324,2)&amp;")"&amp;ROUND(Worksheet!H$308*100,2),"("&amp;ROUND(Worksheet!H324,2)&amp;")"&amp;ROUND(Worksheet!H$308*100,2)&amp;"/ ("&amp;ROUND(Worksheet!I324,2)&amp;")"&amp;ROUND(Worksheet!I$308*100,2))))</f>
        <v>n/a</v>
      </c>
      <c r="AL19" s="281" t="str">
        <f ca="1">IF(O19="","",IF(Worksheet!$L294="D","n/a",IF(Worksheet!J$308=Worksheet!K$308,"("&amp;ROUND(Worksheet!J324+Worksheet!K324,2)&amp;")"&amp;ROUND(Worksheet!J$308*100,2),"("&amp;ROUND(Worksheet!J324,2)&amp;")"&amp;ROUND(Worksheet!J$308*100,2)&amp;"/ ("&amp;ROUND(Worksheet!K324,2)&amp;")"&amp;ROUND(Worksheet!K$308*100,2))))</f>
        <v>n/a</v>
      </c>
    </row>
    <row r="20" spans="1:38" hidden="1" x14ac:dyDescent="0.25">
      <c r="A20" s="104">
        <f>Request!A24</f>
        <v>17</v>
      </c>
      <c r="B20" s="100">
        <f>Request!B24</f>
        <v>0</v>
      </c>
      <c r="C20" s="100"/>
      <c r="D20" s="101"/>
      <c r="E20" s="186" t="s">
        <v>156</v>
      </c>
      <c r="F20" s="212"/>
      <c r="G20" s="82">
        <f ca="1">IF(Request!M24&lt;&gt;"CAL 12/12",Worksheet!B405,Worksheet!L405)</f>
        <v>100750</v>
      </c>
      <c r="H20" s="82" t="str">
        <f>IF(Request!H24="","",IF(Request!H24=0,"",IF(Request!F24=0,"",IF(Worksheet!$C$5=0,"",IF($Q20&lt;&gt;12,Worksheet!L405-Worksheet!B405,0)))))</f>
        <v/>
      </c>
      <c r="I20" s="82">
        <f ca="1">IF(Request!$M24&lt;&gt;"CAL 12/12",Worksheet!D405,Worksheet!N405)</f>
        <v>103773</v>
      </c>
      <c r="J20" s="82" t="str">
        <f>IF(Request!I24="","",IF(Request!I24=0,"",IF(Request!F24=0,"",IF(Worksheet!$D$5=0,"",IF(Q20&lt;&gt;12,Worksheet!N405-Worksheet!D405,0)))))</f>
        <v/>
      </c>
      <c r="K20" s="82">
        <f ca="1">IF(Request!$M24&lt;&gt;"CAL 12/12",Worksheet!F405,Worksheet!P405)</f>
        <v>106886</v>
      </c>
      <c r="L20" s="82" t="str">
        <f>IF(Request!J24="","",IF(Request!J24=0,"",IF(Request!F24=0,"",IF(Worksheet!$E$5=0,"",IF(Q20&lt;&gt;12,Worksheet!P405-Worksheet!F405,0)))))</f>
        <v/>
      </c>
      <c r="M20" s="82">
        <f ca="1">IF(Request!$M24&lt;&gt;"CAL 12/12",Worksheet!H405,Worksheet!R405)</f>
        <v>110092</v>
      </c>
      <c r="N20" s="82" t="str">
        <f>IF(Request!K24="","",IF(Request!K24=0,"",IF(Request!F24=0,"",IF(Worksheet!$F$5=0,"",IF(Q20&lt;&gt;12,Worksheet!R405-Worksheet!H405,0)))))</f>
        <v/>
      </c>
      <c r="O20" s="82">
        <f ca="1">IF(Request!$M24&lt;&gt;"CAL 12/12",Worksheet!J405,Worksheet!T405)</f>
        <v>113395</v>
      </c>
      <c r="P20" s="82" t="str">
        <f>IF(Request!L24="","",IF(Request!L24=0,"",IF(Request!F24=0,"",IF(Worksheet!$G$5=0,"",IF(Q20&lt;&gt;12,Worksheet!T405-Worksheet!J405,0)))))</f>
        <v/>
      </c>
      <c r="Q20" s="271">
        <f>IF(Request!M24="CAL 12/12",12,IF(Request!M24="AY 9/12",9,IF(Request!M24="AY 11/12",11,IF(Request!M24="SMR 9/12",9,IF(Request!M24="SMR 11/12",11)))))</f>
        <v>12</v>
      </c>
      <c r="R20" s="271" t="s">
        <v>53</v>
      </c>
      <c r="S20" s="212"/>
      <c r="T20" s="103">
        <f ca="1">IF(AND(G20=0,Request!$G24&lt;&gt;0),"Add Base Sal",IF('Personnel Reference'!G20=0,0,Request!P24/(G20/$Q20)))</f>
        <v>0</v>
      </c>
      <c r="U20" s="103">
        <f ca="1">IF(AND(I20=0,Request!$G24&lt;&gt;0),"Add Base Sal",IF('Personnel Reference'!I20=0,0,IF(I20="","",Request!Q24/(I20/$Q20))))</f>
        <v>0</v>
      </c>
      <c r="V20" s="103">
        <f ca="1">IF(AND(K20=0,Request!$G24&lt;&gt;0),"Add Base Sal",IF('Personnel Reference'!K20=0,0,IF(K20="","",Request!R24/(K20/$Q20))))</f>
        <v>0</v>
      </c>
      <c r="W20" s="103">
        <f ca="1">IF(AND(M20=0,Request!$G24&lt;&gt;0),"Add Base Sal",IF('Personnel Reference'!M20=0,0,IF(M20="","",Request!S24/(M20/$Q20))))</f>
        <v>0</v>
      </c>
      <c r="X20" s="103">
        <f ca="1">IF(AND(O20=0,Request!$G24&lt;&gt;0),"Add Base Sal",IF('Personnel Reference'!O20=0,0,IF(O20="","",Request!T24/(O20/$Q20))))</f>
        <v>0</v>
      </c>
      <c r="Y20" s="285" t="str">
        <f>IF(Request!M24="CAL 12/12","CAL",IF(Request!M24="AY 9/12","AY",IF(Request!M24="AY 11/12","AY",IF(Request!M24="SMR 9/12","SMR",IF(Request!M24="SMR 11/12","SMR")))))</f>
        <v>CAL</v>
      </c>
      <c r="Z20" s="212"/>
      <c r="AA20" s="82">
        <f ca="1">Request!P24+Request!P52</f>
        <v>0</v>
      </c>
      <c r="AB20" s="82">
        <f ca="1">Request!Q24+Request!Q52</f>
        <v>0</v>
      </c>
      <c r="AC20" s="82">
        <f ca="1">Request!R24+Request!R52</f>
        <v>0</v>
      </c>
      <c r="AD20" s="82">
        <f ca="1">Request!S24+Request!S52</f>
        <v>0</v>
      </c>
      <c r="AE20" s="82">
        <f ca="1">Request!T24+Request!T52</f>
        <v>0</v>
      </c>
      <c r="AF20" s="284">
        <f t="shared" ca="1" si="0"/>
        <v>0</v>
      </c>
      <c r="AG20" s="277"/>
      <c r="AH20" s="281" t="str">
        <f ca="1">IF(G20="","",IF(Worksheet!$L295="D","n/a",IF(Worksheet!B$308=Worksheet!C$308,"("&amp;ROUND(Worksheet!B325+Worksheet!C325,2)&amp;")"&amp;ROUND(Worksheet!B$308*100,2),"("&amp;ROUND(Worksheet!B325,2)&amp;")"&amp;ROUND(Worksheet!B$308*100,2)&amp;"/ ("&amp;ROUND(Worksheet!C325,2)&amp;")"&amp;ROUND(Worksheet!C$308*100,2))))</f>
        <v>n/a</v>
      </c>
      <c r="AI20" s="281" t="str">
        <f ca="1">IF(I20="","",IF(Worksheet!$L295="D","n/a",IF(Worksheet!D$308=Worksheet!E$308,"("&amp;ROUND(Worksheet!D325+Worksheet!E325,2)&amp;")"&amp;ROUND(Worksheet!D$308*100,2),"("&amp;ROUND(Worksheet!D325,2)&amp;")"&amp;ROUND(Worksheet!D$308*100,2)&amp;"/ ("&amp;ROUND(Worksheet!E325,2)&amp;")"&amp;ROUND(Worksheet!E$308*100,2))))</f>
        <v>n/a</v>
      </c>
      <c r="AJ20" s="281" t="str">
        <f ca="1">IF(K20="","",IF(Worksheet!$L295="D","n/a",IF(Worksheet!F$308=Worksheet!G$308,"("&amp;ROUND(Worksheet!F325+Worksheet!G325,2)&amp;")"&amp;ROUND(Worksheet!F$308*100,2),"("&amp;ROUND(Worksheet!F325,2)&amp;")"&amp;ROUND(Worksheet!F$308*100,2)&amp;"/ ("&amp;ROUND(Worksheet!G325,2)&amp;")"&amp;ROUND(Worksheet!G$308*100,2))))</f>
        <v>n/a</v>
      </c>
      <c r="AK20" s="281" t="str">
        <f ca="1">IF(M20="","",IF(Worksheet!$L295="D","n/a",IF(Worksheet!H$308=Worksheet!I$308,"("&amp;ROUND(Worksheet!H325+Worksheet!I325,2)&amp;")"&amp;ROUND(Worksheet!H$308*100,2),"("&amp;ROUND(Worksheet!H325,2)&amp;")"&amp;ROUND(Worksheet!H$308*100,2)&amp;"/ ("&amp;ROUND(Worksheet!I325,2)&amp;")"&amp;ROUND(Worksheet!I$308*100,2))))</f>
        <v>n/a</v>
      </c>
      <c r="AL20" s="281" t="str">
        <f ca="1">IF(O20="","",IF(Worksheet!$L295="D","n/a",IF(Worksheet!J$308=Worksheet!K$308,"("&amp;ROUND(Worksheet!J325+Worksheet!K325,2)&amp;")"&amp;ROUND(Worksheet!J$308*100,2),"("&amp;ROUND(Worksheet!J325,2)&amp;")"&amp;ROUND(Worksheet!J$308*100,2)&amp;"/ ("&amp;ROUND(Worksheet!K325,2)&amp;")"&amp;ROUND(Worksheet!K$308*100,2))))</f>
        <v>n/a</v>
      </c>
    </row>
    <row r="21" spans="1:38" hidden="1" x14ac:dyDescent="0.25">
      <c r="A21" s="104">
        <f>Request!A25</f>
        <v>18</v>
      </c>
      <c r="B21" s="100">
        <f>Request!B25</f>
        <v>0</v>
      </c>
      <c r="C21" s="100"/>
      <c r="D21" s="101"/>
      <c r="E21" s="186" t="s">
        <v>156</v>
      </c>
      <c r="F21" s="212"/>
      <c r="G21" s="82">
        <f ca="1">IF(Request!M25&lt;&gt;"CAL 12/12",Worksheet!B406,Worksheet!L406)</f>
        <v>100750</v>
      </c>
      <c r="H21" s="82" t="str">
        <f>IF(Request!H25="","",IF(Request!H25=0,"",IF(Request!F25=0,"",IF(Worksheet!$C$5=0,"",IF($Q21&lt;&gt;12,Worksheet!L406-Worksheet!B406,0)))))</f>
        <v/>
      </c>
      <c r="I21" s="82">
        <f ca="1">IF(Request!$M25&lt;&gt;"CAL 12/12",Worksheet!D406,Worksheet!N406)</f>
        <v>103773</v>
      </c>
      <c r="J21" s="82" t="str">
        <f>IF(Request!I25="","",IF(Request!I25=0,"",IF(Request!F25=0,"",IF(Worksheet!$D$5=0,"",IF(Q21&lt;&gt;12,Worksheet!N406-Worksheet!D406,0)))))</f>
        <v/>
      </c>
      <c r="K21" s="82">
        <f ca="1">IF(Request!$M25&lt;&gt;"CAL 12/12",Worksheet!F406,Worksheet!P406)</f>
        <v>106886</v>
      </c>
      <c r="L21" s="82" t="str">
        <f>IF(Request!J25="","",IF(Request!J25=0,"",IF(Request!F25=0,"",IF(Worksheet!$E$5=0,"",IF(Q21&lt;&gt;12,Worksheet!P406-Worksheet!F406,0)))))</f>
        <v/>
      </c>
      <c r="M21" s="82">
        <f ca="1">IF(Request!$M25&lt;&gt;"CAL 12/12",Worksheet!H406,Worksheet!R406)</f>
        <v>110092</v>
      </c>
      <c r="N21" s="82" t="str">
        <f>IF(Request!K25="","",IF(Request!K25=0,"",IF(Request!F25=0,"",IF(Worksheet!$F$5=0,"",IF(Q21&lt;&gt;12,Worksheet!R406-Worksheet!H406,0)))))</f>
        <v/>
      </c>
      <c r="O21" s="82">
        <f ca="1">IF(Request!$M25&lt;&gt;"CAL 12/12",Worksheet!J406,Worksheet!T406)</f>
        <v>113395</v>
      </c>
      <c r="P21" s="82" t="str">
        <f>IF(Request!L25="","",IF(Request!L25=0,"",IF(Request!F25=0,"",IF(Worksheet!$G$5=0,"",IF(Q21&lt;&gt;12,Worksheet!T406-Worksheet!J406,0)))))</f>
        <v/>
      </c>
      <c r="Q21" s="271">
        <f>IF(Request!M25="CAL 12/12",12,IF(Request!M25="AY 9/12",9,IF(Request!M25="AY 11/12",11,IF(Request!M25="SMR 9/12",9,IF(Request!M25="SMR 11/12",11)))))</f>
        <v>12</v>
      </c>
      <c r="R21" s="271" t="s">
        <v>53</v>
      </c>
      <c r="S21" s="212"/>
      <c r="T21" s="103">
        <f ca="1">IF(AND(G21=0,Request!$G25&lt;&gt;0),"Add Base Sal",IF('Personnel Reference'!G21=0,0,Request!P25/(G21/$Q21)))</f>
        <v>0</v>
      </c>
      <c r="U21" s="103">
        <f ca="1">IF(AND(I21=0,Request!$G25&lt;&gt;0),"Add Base Sal",IF('Personnel Reference'!I21=0,0,IF(I21="","",Request!Q25/(I21/$Q21))))</f>
        <v>0</v>
      </c>
      <c r="V21" s="103">
        <f ca="1">IF(AND(K21=0,Request!$G25&lt;&gt;0),"Add Base Sal",IF('Personnel Reference'!K21=0,0,IF(K21="","",Request!R25/(K21/$Q21))))</f>
        <v>0</v>
      </c>
      <c r="W21" s="103">
        <f ca="1">IF(AND(M21=0,Request!$G25&lt;&gt;0),"Add Base Sal",IF('Personnel Reference'!M21=0,0,IF(M21="","",Request!S25/(M21/$Q21))))</f>
        <v>0</v>
      </c>
      <c r="X21" s="103">
        <f ca="1">IF(AND(O21=0,Request!$G25&lt;&gt;0),"Add Base Sal",IF('Personnel Reference'!O21=0,0,IF(O21="","",Request!T25/(O21/$Q21))))</f>
        <v>0</v>
      </c>
      <c r="Y21" s="285" t="str">
        <f>IF(Request!M25="CAL 12/12","CAL",IF(Request!M25="AY 9/12","AY",IF(Request!M25="AY 11/12","AY",IF(Request!M25="SMR 9/12","SMR",IF(Request!M25="SMR 11/12","SMR")))))</f>
        <v>CAL</v>
      </c>
      <c r="Z21" s="212"/>
      <c r="AA21" s="82">
        <f ca="1">Request!P25+Request!P53</f>
        <v>0</v>
      </c>
      <c r="AB21" s="82">
        <f ca="1">Request!Q25+Request!Q53</f>
        <v>0</v>
      </c>
      <c r="AC21" s="82">
        <f ca="1">Request!R25+Request!R53</f>
        <v>0</v>
      </c>
      <c r="AD21" s="82">
        <f ca="1">Request!S25+Request!S53</f>
        <v>0</v>
      </c>
      <c r="AE21" s="82">
        <f ca="1">Request!T25+Request!T53</f>
        <v>0</v>
      </c>
      <c r="AF21" s="284">
        <f t="shared" ca="1" si="0"/>
        <v>0</v>
      </c>
      <c r="AG21" s="277"/>
      <c r="AH21" s="281" t="str">
        <f ca="1">IF(G21="","",IF(Worksheet!$L296="D","n/a",IF(Worksheet!B$308=Worksheet!C$308,"("&amp;ROUND(Worksheet!B326+Worksheet!C326,2)&amp;")"&amp;ROUND(Worksheet!B$308*100,2),"("&amp;ROUND(Worksheet!B326,2)&amp;")"&amp;ROUND(Worksheet!B$308*100,2)&amp;"/ ("&amp;ROUND(Worksheet!C326,2)&amp;")"&amp;ROUND(Worksheet!C$308*100,2))))</f>
        <v>n/a</v>
      </c>
      <c r="AI21" s="281" t="str">
        <f ca="1">IF(I21="","",IF(Worksheet!$L296="D","n/a",IF(Worksheet!D$308=Worksheet!E$308,"("&amp;ROUND(Worksheet!D326+Worksheet!E326,2)&amp;")"&amp;ROUND(Worksheet!D$308*100,2),"("&amp;ROUND(Worksheet!D326,2)&amp;")"&amp;ROUND(Worksheet!D$308*100,2)&amp;"/ ("&amp;ROUND(Worksheet!E326,2)&amp;")"&amp;ROUND(Worksheet!E$308*100,2))))</f>
        <v>n/a</v>
      </c>
      <c r="AJ21" s="281" t="str">
        <f ca="1">IF(K21="","",IF(Worksheet!$L296="D","n/a",IF(Worksheet!F$308=Worksheet!G$308,"("&amp;ROUND(Worksheet!F326+Worksheet!G326,2)&amp;")"&amp;ROUND(Worksheet!F$308*100,2),"("&amp;ROUND(Worksheet!F326,2)&amp;")"&amp;ROUND(Worksheet!F$308*100,2)&amp;"/ ("&amp;ROUND(Worksheet!G326,2)&amp;")"&amp;ROUND(Worksheet!G$308*100,2))))</f>
        <v>n/a</v>
      </c>
      <c r="AK21" s="281" t="str">
        <f ca="1">IF(M21="","",IF(Worksheet!$L296="D","n/a",IF(Worksheet!H$308=Worksheet!I$308,"("&amp;ROUND(Worksheet!H326+Worksheet!I326,2)&amp;")"&amp;ROUND(Worksheet!H$308*100,2),"("&amp;ROUND(Worksheet!H326,2)&amp;")"&amp;ROUND(Worksheet!H$308*100,2)&amp;"/ ("&amp;ROUND(Worksheet!I326,2)&amp;")"&amp;ROUND(Worksheet!I$308*100,2))))</f>
        <v>n/a</v>
      </c>
      <c r="AL21" s="281" t="str">
        <f ca="1">IF(O21="","",IF(Worksheet!$L296="D","n/a",IF(Worksheet!J$308=Worksheet!K$308,"("&amp;ROUND(Worksheet!J326+Worksheet!K326,2)&amp;")"&amp;ROUND(Worksheet!J$308*100,2),"("&amp;ROUND(Worksheet!J326,2)&amp;")"&amp;ROUND(Worksheet!J$308*100,2)&amp;"/ ("&amp;ROUND(Worksheet!K326,2)&amp;")"&amp;ROUND(Worksheet!K$308*100,2))))</f>
        <v>n/a</v>
      </c>
    </row>
    <row r="22" spans="1:38" hidden="1" x14ac:dyDescent="0.25">
      <c r="A22" s="104">
        <f>Request!A26</f>
        <v>19</v>
      </c>
      <c r="B22" s="100">
        <f>Request!B26</f>
        <v>0</v>
      </c>
      <c r="C22" s="100"/>
      <c r="D22" s="101"/>
      <c r="E22" s="186" t="s">
        <v>156</v>
      </c>
      <c r="F22" s="212"/>
      <c r="G22" s="82">
        <f ca="1">IF(Request!M26&lt;&gt;"CAL 12/12",Worksheet!B407,Worksheet!L407)</f>
        <v>100750</v>
      </c>
      <c r="H22" s="82" t="str">
        <f>IF(Request!H26="","",IF(Request!H26=0,"",IF(Request!F26=0,"",IF(Worksheet!$C$5=0,"",IF($Q22&lt;&gt;12,Worksheet!L407-Worksheet!B407,0)))))</f>
        <v/>
      </c>
      <c r="I22" s="82">
        <f ca="1">IF(Request!$M26&lt;&gt;"CAL 12/12",Worksheet!D407,Worksheet!N407)</f>
        <v>103773</v>
      </c>
      <c r="J22" s="82" t="str">
        <f>IF(Request!I26="","",IF(Request!I26=0,"",IF(Request!F26=0,"",IF(Worksheet!$D$5=0,"",IF(Q22&lt;&gt;12,Worksheet!N407-Worksheet!D407,0)))))</f>
        <v/>
      </c>
      <c r="K22" s="82">
        <f ca="1">IF(Request!$M26&lt;&gt;"CAL 12/12",Worksheet!F407,Worksheet!P407)</f>
        <v>106886</v>
      </c>
      <c r="L22" s="82" t="str">
        <f>IF(Request!J26="","",IF(Request!J26=0,"",IF(Request!F26=0,"",IF(Worksheet!$E$5=0,"",IF(Q22&lt;&gt;12,Worksheet!P407-Worksheet!F407,0)))))</f>
        <v/>
      </c>
      <c r="M22" s="82">
        <f ca="1">IF(Request!$M26&lt;&gt;"CAL 12/12",Worksheet!H407,Worksheet!R407)</f>
        <v>110092</v>
      </c>
      <c r="N22" s="82" t="str">
        <f>IF(Request!K26="","",IF(Request!K26=0,"",IF(Request!F26=0,"",IF(Worksheet!$F$5=0,"",IF(Q22&lt;&gt;12,Worksheet!R407-Worksheet!H407,0)))))</f>
        <v/>
      </c>
      <c r="O22" s="82">
        <f ca="1">IF(Request!$M26&lt;&gt;"CAL 12/12",Worksheet!J407,Worksheet!T407)</f>
        <v>113395</v>
      </c>
      <c r="P22" s="82" t="str">
        <f>IF(Request!L26="","",IF(Request!L26=0,"",IF(Request!F26=0,"",IF(Worksheet!$G$5=0,"",IF(Q22&lt;&gt;12,Worksheet!T407-Worksheet!J407,0)))))</f>
        <v/>
      </c>
      <c r="Q22" s="271">
        <f>IF(Request!M26="CAL 12/12",12,IF(Request!M26="AY 9/12",9,IF(Request!M26="AY 11/12",11,IF(Request!M26="SMR 9/12",9,IF(Request!M26="SMR 11/12",11)))))</f>
        <v>12</v>
      </c>
      <c r="R22" s="271" t="s">
        <v>53</v>
      </c>
      <c r="S22" s="212"/>
      <c r="T22" s="103">
        <f ca="1">IF(AND(G22=0,Request!$G26&lt;&gt;0),"Add Base Sal",IF('Personnel Reference'!G22=0,0,Request!P26/(G22/$Q22)))</f>
        <v>0</v>
      </c>
      <c r="U22" s="103">
        <f ca="1">IF(AND(I22=0,Request!$G26&lt;&gt;0),"Add Base Sal",IF('Personnel Reference'!I22=0,0,IF(I22="","",Request!Q26/(I22/$Q22))))</f>
        <v>0</v>
      </c>
      <c r="V22" s="103">
        <f ca="1">IF(AND(K22=0,Request!$G26&lt;&gt;0),"Add Base Sal",IF('Personnel Reference'!K22=0,0,IF(K22="","",Request!R26/(K22/$Q22))))</f>
        <v>0</v>
      </c>
      <c r="W22" s="103">
        <f ca="1">IF(AND(M22=0,Request!$G26&lt;&gt;0),"Add Base Sal",IF('Personnel Reference'!M22=0,0,IF(M22="","",Request!S26/(M22/$Q22))))</f>
        <v>0</v>
      </c>
      <c r="X22" s="103">
        <f ca="1">IF(AND(O22=0,Request!$G26&lt;&gt;0),"Add Base Sal",IF('Personnel Reference'!O22=0,0,IF(O22="","",Request!T26/(O22/$Q22))))</f>
        <v>0</v>
      </c>
      <c r="Y22" s="285" t="str">
        <f>IF(Request!M26="CAL 12/12","CAL",IF(Request!M26="AY 9/12","AY",IF(Request!M26="AY 11/12","AY",IF(Request!M26="SMR 9/12","SMR",IF(Request!M26="SMR 11/12","SMR")))))</f>
        <v>CAL</v>
      </c>
      <c r="Z22" s="212"/>
      <c r="AA22" s="82">
        <f ca="1">Request!P26+Request!P54</f>
        <v>0</v>
      </c>
      <c r="AB22" s="82">
        <f ca="1">Request!Q26+Request!Q54</f>
        <v>0</v>
      </c>
      <c r="AC22" s="82">
        <f ca="1">Request!R26+Request!R54</f>
        <v>0</v>
      </c>
      <c r="AD22" s="82">
        <f ca="1">Request!S26+Request!S54</f>
        <v>0</v>
      </c>
      <c r="AE22" s="82">
        <f ca="1">Request!T26+Request!T54</f>
        <v>0</v>
      </c>
      <c r="AF22" s="284">
        <f t="shared" ca="1" si="0"/>
        <v>0</v>
      </c>
      <c r="AG22" s="277"/>
      <c r="AH22" s="281" t="str">
        <f ca="1">IF(G22="","",IF(Worksheet!$L297="D","n/a",IF(Worksheet!B$308=Worksheet!C$308,"("&amp;ROUND(Worksheet!B327+Worksheet!C327,2)&amp;")"&amp;ROUND(Worksheet!B$308*100,2),"("&amp;ROUND(Worksheet!B327,2)&amp;")"&amp;ROUND(Worksheet!B$308*100,2)&amp;"/ ("&amp;ROUND(Worksheet!C327,2)&amp;")"&amp;ROUND(Worksheet!C$308*100,2))))</f>
        <v>n/a</v>
      </c>
      <c r="AI22" s="281" t="str">
        <f ca="1">IF(I22="","",IF(Worksheet!$L297="D","n/a",IF(Worksheet!D$308=Worksheet!E$308,"("&amp;ROUND(Worksheet!D327+Worksheet!E327,2)&amp;")"&amp;ROUND(Worksheet!D$308*100,2),"("&amp;ROUND(Worksheet!D327,2)&amp;")"&amp;ROUND(Worksheet!D$308*100,2)&amp;"/ ("&amp;ROUND(Worksheet!E327,2)&amp;")"&amp;ROUND(Worksheet!E$308*100,2))))</f>
        <v>n/a</v>
      </c>
      <c r="AJ22" s="281" t="str">
        <f ca="1">IF(K22="","",IF(Worksheet!$L297="D","n/a",IF(Worksheet!F$308=Worksheet!G$308,"("&amp;ROUND(Worksheet!F327+Worksheet!G327,2)&amp;")"&amp;ROUND(Worksheet!F$308*100,2),"("&amp;ROUND(Worksheet!F327,2)&amp;")"&amp;ROUND(Worksheet!F$308*100,2)&amp;"/ ("&amp;ROUND(Worksheet!G327,2)&amp;")"&amp;ROUND(Worksheet!G$308*100,2))))</f>
        <v>n/a</v>
      </c>
      <c r="AK22" s="281" t="str">
        <f ca="1">IF(M22="","",IF(Worksheet!$L297="D","n/a",IF(Worksheet!H$308=Worksheet!I$308,"("&amp;ROUND(Worksheet!H327+Worksheet!I327,2)&amp;")"&amp;ROUND(Worksheet!H$308*100,2),"("&amp;ROUND(Worksheet!H327,2)&amp;")"&amp;ROUND(Worksheet!H$308*100,2)&amp;"/ ("&amp;ROUND(Worksheet!I327,2)&amp;")"&amp;ROUND(Worksheet!I$308*100,2))))</f>
        <v>n/a</v>
      </c>
      <c r="AL22" s="281" t="str">
        <f ca="1">IF(O22="","",IF(Worksheet!$L297="D","n/a",IF(Worksheet!J$308=Worksheet!K$308,"("&amp;ROUND(Worksheet!J327+Worksheet!K327,2)&amp;")"&amp;ROUND(Worksheet!J$308*100,2),"("&amp;ROUND(Worksheet!J327,2)&amp;")"&amp;ROUND(Worksheet!J$308*100,2)&amp;"/ ("&amp;ROUND(Worksheet!K327,2)&amp;")"&amp;ROUND(Worksheet!K$308*100,2))))</f>
        <v>n/a</v>
      </c>
    </row>
    <row r="23" spans="1:38" hidden="1" x14ac:dyDescent="0.25">
      <c r="A23" s="104">
        <f>Request!A27</f>
        <v>20</v>
      </c>
      <c r="B23" s="100">
        <f>Request!B27</f>
        <v>0</v>
      </c>
      <c r="C23" s="100"/>
      <c r="D23" s="101"/>
      <c r="E23" s="186" t="s">
        <v>156</v>
      </c>
      <c r="F23" s="212"/>
      <c r="G23" s="82">
        <f ca="1">IF(Request!M27&lt;&gt;"CAL 12/12",Worksheet!B408,Worksheet!L408)</f>
        <v>100750</v>
      </c>
      <c r="H23" s="82" t="str">
        <f>IF(Request!H27="","",IF(Request!H27=0,"",IF(Request!F27=0,"",IF(Worksheet!$C$5=0,"",IF($Q23&lt;&gt;12,Worksheet!L408-Worksheet!B408,0)))))</f>
        <v/>
      </c>
      <c r="I23" s="82">
        <f ca="1">IF(Request!$M27&lt;&gt;"CAL 12/12",Worksheet!D408,Worksheet!N408)</f>
        <v>103773</v>
      </c>
      <c r="J23" s="82" t="str">
        <f>IF(Request!I27="","",IF(Request!I27=0,"",IF(Request!F27=0,"",IF(Worksheet!$D$5=0,"",IF(Q23&lt;&gt;12,Worksheet!N408-Worksheet!D408,0)))))</f>
        <v/>
      </c>
      <c r="K23" s="82">
        <f ca="1">IF(Request!$M27&lt;&gt;"CAL 12/12",Worksheet!F408,Worksheet!P408)</f>
        <v>106886</v>
      </c>
      <c r="L23" s="82" t="str">
        <f>IF(Request!J27="","",IF(Request!J27=0,"",IF(Request!F27=0,"",IF(Worksheet!$E$5=0,"",IF(Q23&lt;&gt;12,Worksheet!P408-Worksheet!F408,0)))))</f>
        <v/>
      </c>
      <c r="M23" s="82">
        <f ca="1">IF(Request!$M27&lt;&gt;"CAL 12/12",Worksheet!H408,Worksheet!R408)</f>
        <v>110092</v>
      </c>
      <c r="N23" s="82" t="str">
        <f>IF(Request!K27="","",IF(Request!K27=0,"",IF(Request!F27=0,"",IF(Worksheet!$F$5=0,"",IF(Q23&lt;&gt;12,Worksheet!R408-Worksheet!H408,0)))))</f>
        <v/>
      </c>
      <c r="O23" s="82">
        <f ca="1">IF(Request!$M27&lt;&gt;"CAL 12/12",Worksheet!J408,Worksheet!T408)</f>
        <v>113395</v>
      </c>
      <c r="P23" s="82" t="str">
        <f>IF(Request!L27="","",IF(Request!L27=0,"",IF(Request!F27=0,"",IF(Worksheet!$G$5=0,"",IF(Q23&lt;&gt;12,Worksheet!T408-Worksheet!J408,0)))))</f>
        <v/>
      </c>
      <c r="Q23" s="271">
        <f>IF(Request!M27="CAL 12/12",12,IF(Request!M27="AY 9/12",9,IF(Request!M27="AY 11/12",11,IF(Request!M27="SMR 9/12",9,IF(Request!M27="SMR 11/12",11)))))</f>
        <v>12</v>
      </c>
      <c r="R23" s="271" t="s">
        <v>53</v>
      </c>
      <c r="S23" s="212"/>
      <c r="T23" s="103">
        <f ca="1">IF(AND(G23=0,Request!$G27&lt;&gt;0),"Add Base Sal",IF('Personnel Reference'!G23=0,0,Request!P27/(G23/$Q23)))</f>
        <v>0</v>
      </c>
      <c r="U23" s="103">
        <f ca="1">IF(AND(I23=0,Request!$G27&lt;&gt;0),"Add Base Sal",IF('Personnel Reference'!I23=0,0,IF(I23="","",Request!Q27/(I23/$Q23))))</f>
        <v>0</v>
      </c>
      <c r="V23" s="103">
        <f ca="1">IF(AND(K23=0,Request!$G27&lt;&gt;0),"Add Base Sal",IF('Personnel Reference'!K23=0,0,IF(K23="","",Request!R27/(K23/$Q23))))</f>
        <v>0</v>
      </c>
      <c r="W23" s="103">
        <f ca="1">IF(AND(M23=0,Request!$G27&lt;&gt;0),"Add Base Sal",IF('Personnel Reference'!M23=0,0,IF(M23="","",Request!S27/(M23/$Q23))))</f>
        <v>0</v>
      </c>
      <c r="X23" s="103">
        <f ca="1">IF(AND(O23=0,Request!$G27&lt;&gt;0),"Add Base Sal",IF('Personnel Reference'!O23=0,0,IF(O23="","",Request!T27/(O23/$Q23))))</f>
        <v>0</v>
      </c>
      <c r="Y23" s="285" t="str">
        <f>IF(Request!M27="CAL 12/12","CAL",IF(Request!M27="AY 9/12","AY",IF(Request!M27="AY 11/12","AY",IF(Request!M27="SMR 9/12","SMR",IF(Request!M27="SMR 11/12","SMR")))))</f>
        <v>CAL</v>
      </c>
      <c r="Z23" s="212"/>
      <c r="AA23" s="82">
        <f ca="1">Request!P27+Request!P55</f>
        <v>0</v>
      </c>
      <c r="AB23" s="82">
        <f ca="1">Request!Q27+Request!Q55</f>
        <v>0</v>
      </c>
      <c r="AC23" s="82">
        <f ca="1">Request!R27+Request!R55</f>
        <v>0</v>
      </c>
      <c r="AD23" s="82">
        <f ca="1">Request!S27+Request!S55</f>
        <v>0</v>
      </c>
      <c r="AE23" s="82">
        <f ca="1">Request!T27+Request!T55</f>
        <v>0</v>
      </c>
      <c r="AF23" s="284">
        <f t="shared" ca="1" si="0"/>
        <v>0</v>
      </c>
      <c r="AG23" s="277"/>
      <c r="AH23" s="281" t="str">
        <f ca="1">IF(G23="","",IF(Worksheet!$L298="D","n/a",IF(Worksheet!B$308=Worksheet!C$308,"("&amp;ROUND(Worksheet!B328+Worksheet!C328,2)&amp;")"&amp;ROUND(Worksheet!B$308*100,2),"("&amp;ROUND(Worksheet!B328,2)&amp;")"&amp;ROUND(Worksheet!B$308*100,2)&amp;"/ ("&amp;ROUND(Worksheet!C328,2)&amp;")"&amp;ROUND(Worksheet!C$308*100,2))))</f>
        <v>n/a</v>
      </c>
      <c r="AI23" s="281" t="str">
        <f ca="1">IF(I23="","",IF(Worksheet!$L298="D","n/a",IF(Worksheet!D$308=Worksheet!E$308,"("&amp;ROUND(Worksheet!D328+Worksheet!E328,2)&amp;")"&amp;ROUND(Worksheet!D$308*100,2),"("&amp;ROUND(Worksheet!D328,2)&amp;")"&amp;ROUND(Worksheet!D$308*100,2)&amp;"/ ("&amp;ROUND(Worksheet!E328,2)&amp;")"&amp;ROUND(Worksheet!E$308*100,2))))</f>
        <v>n/a</v>
      </c>
      <c r="AJ23" s="281" t="str">
        <f ca="1">IF(K23="","",IF(Worksheet!$L298="D","n/a",IF(Worksheet!F$308=Worksheet!G$308,"("&amp;ROUND(Worksheet!F328+Worksheet!G328,2)&amp;")"&amp;ROUND(Worksheet!F$308*100,2),"("&amp;ROUND(Worksheet!F328,2)&amp;")"&amp;ROUND(Worksheet!F$308*100,2)&amp;"/ ("&amp;ROUND(Worksheet!G328,2)&amp;")"&amp;ROUND(Worksheet!G$308*100,2))))</f>
        <v>n/a</v>
      </c>
      <c r="AK23" s="281" t="str">
        <f ca="1">IF(M23="","",IF(Worksheet!$L298="D","n/a",IF(Worksheet!H$308=Worksheet!I$308,"("&amp;ROUND(Worksheet!H328+Worksheet!I328,2)&amp;")"&amp;ROUND(Worksheet!H$308*100,2),"("&amp;ROUND(Worksheet!H328,2)&amp;")"&amp;ROUND(Worksheet!H$308*100,2)&amp;"/ ("&amp;ROUND(Worksheet!I328,2)&amp;")"&amp;ROUND(Worksheet!I$308*100,2))))</f>
        <v>n/a</v>
      </c>
      <c r="AL23" s="281" t="str">
        <f ca="1">IF(O23="","",IF(Worksheet!$L298="D","n/a",IF(Worksheet!J$308=Worksheet!K$308,"("&amp;ROUND(Worksheet!J328+Worksheet!K328,2)&amp;")"&amp;ROUND(Worksheet!J$308*100,2),"("&amp;ROUND(Worksheet!J328,2)&amp;")"&amp;ROUND(Worksheet!J$308*100,2)&amp;"/ ("&amp;ROUND(Worksheet!K328,2)&amp;")"&amp;ROUND(Worksheet!K$308*100,2))))</f>
        <v>n/a</v>
      </c>
    </row>
    <row r="24" spans="1:38" hidden="1" x14ac:dyDescent="0.25">
      <c r="A24" s="104">
        <f>Request!A28</f>
        <v>21</v>
      </c>
      <c r="B24" s="100">
        <f>Request!B28</f>
        <v>0</v>
      </c>
      <c r="C24" s="100"/>
      <c r="D24" s="101"/>
      <c r="E24" s="186" t="s">
        <v>156</v>
      </c>
      <c r="F24" s="212"/>
      <c r="G24" s="82">
        <f ca="1">IF(Request!M28&lt;&gt;"CAL 12/12",Worksheet!B409,Worksheet!L409)</f>
        <v>100750</v>
      </c>
      <c r="H24" s="82" t="str">
        <f>IF(Request!H28="","",IF(Request!H28=0,"",IF(Request!F28=0,"",IF(Worksheet!$C$5=0,"",IF($Q24&lt;&gt;12,Worksheet!L409-Worksheet!B409,0)))))</f>
        <v/>
      </c>
      <c r="I24" s="82">
        <f ca="1">IF(Request!$M28&lt;&gt;"CAL 12/12",Worksheet!D409,Worksheet!N409)</f>
        <v>103773</v>
      </c>
      <c r="J24" s="82" t="str">
        <f>IF(Request!I28="","",IF(Request!I28=0,"",IF(Request!F28=0,"",IF(Worksheet!$D$5=0,"",IF(Q24&lt;&gt;12,Worksheet!N409-Worksheet!D409,0)))))</f>
        <v/>
      </c>
      <c r="K24" s="82">
        <f ca="1">IF(Request!$M28&lt;&gt;"CAL 12/12",Worksheet!F409,Worksheet!P409)</f>
        <v>106886</v>
      </c>
      <c r="L24" s="82" t="str">
        <f>IF(Request!J28="","",IF(Request!J28=0,"",IF(Request!F28=0,"",IF(Worksheet!$E$5=0,"",IF(Q24&lt;&gt;12,Worksheet!P409-Worksheet!F409,0)))))</f>
        <v/>
      </c>
      <c r="M24" s="82">
        <f ca="1">IF(Request!$M28&lt;&gt;"CAL 12/12",Worksheet!H409,Worksheet!R409)</f>
        <v>110092</v>
      </c>
      <c r="N24" s="82" t="str">
        <f>IF(Request!K28="","",IF(Request!K28=0,"",IF(Request!F28=0,"",IF(Worksheet!$F$5=0,"",IF(Q24&lt;&gt;12,Worksheet!R409-Worksheet!H409,0)))))</f>
        <v/>
      </c>
      <c r="O24" s="82">
        <f ca="1">IF(Request!$M28&lt;&gt;"CAL 12/12",Worksheet!J409,Worksheet!T409)</f>
        <v>113395</v>
      </c>
      <c r="P24" s="82" t="str">
        <f>IF(Request!L28="","",IF(Request!L28=0,"",IF(Request!F28=0,"",IF(Worksheet!$G$5=0,"",IF(Q24&lt;&gt;12,Worksheet!T409-Worksheet!J409,0)))))</f>
        <v/>
      </c>
      <c r="Q24" s="271">
        <f>IF(Request!M28="CAL 12/12",12,IF(Request!M28="AY 9/12",9,IF(Request!M28="AY 11/12",11,IF(Request!M28="SMR 9/12",9,IF(Request!M28="SMR 11/12",11)))))</f>
        <v>12</v>
      </c>
      <c r="R24" s="271" t="s">
        <v>53</v>
      </c>
      <c r="S24" s="212"/>
      <c r="T24" s="103">
        <f ca="1">IF(AND(G24=0,Request!$G28&lt;&gt;0),"Add Base Sal",IF('Personnel Reference'!G24=0,0,Request!P28/(G24/$Q24)))</f>
        <v>0</v>
      </c>
      <c r="U24" s="103">
        <f ca="1">IF(AND(I24=0,Request!$G28&lt;&gt;0),"Add Base Sal",IF('Personnel Reference'!I24=0,0,IF(I24="","",Request!Q28/(I24/$Q24))))</f>
        <v>0</v>
      </c>
      <c r="V24" s="103">
        <f ca="1">IF(AND(K24=0,Request!$G28&lt;&gt;0),"Add Base Sal",IF('Personnel Reference'!K24=0,0,IF(K24="","",Request!R28/(K24/$Q24))))</f>
        <v>0</v>
      </c>
      <c r="W24" s="103">
        <f ca="1">IF(AND(M24=0,Request!$G28&lt;&gt;0),"Add Base Sal",IF('Personnel Reference'!M24=0,0,IF(M24="","",Request!S28/(M24/$Q24))))</f>
        <v>0</v>
      </c>
      <c r="X24" s="103">
        <f ca="1">IF(AND(O24=0,Request!$G28&lt;&gt;0),"Add Base Sal",IF('Personnel Reference'!O24=0,0,IF(O24="","",Request!T28/(O24/$Q24))))</f>
        <v>0</v>
      </c>
      <c r="Y24" s="285" t="str">
        <f>IF(Request!M28="CAL 12/12","CAL",IF(Request!M28="AY 9/12","AY",IF(Request!M28="AY 11/12","AY",IF(Request!M28="SMR 9/12","SMR",IF(Request!M28="SMR 11/12","SMR")))))</f>
        <v>CAL</v>
      </c>
      <c r="Z24" s="212"/>
      <c r="AA24" s="82">
        <f ca="1">Request!P28+Request!P56</f>
        <v>0</v>
      </c>
      <c r="AB24" s="82">
        <f ca="1">Request!Q28+Request!Q56</f>
        <v>0</v>
      </c>
      <c r="AC24" s="82">
        <f ca="1">Request!R28+Request!R56</f>
        <v>0</v>
      </c>
      <c r="AD24" s="82">
        <f ca="1">Request!S28+Request!S56</f>
        <v>0</v>
      </c>
      <c r="AE24" s="82">
        <f ca="1">Request!T28+Request!T56</f>
        <v>0</v>
      </c>
      <c r="AF24" s="284">
        <f t="shared" ca="1" si="0"/>
        <v>0</v>
      </c>
      <c r="AG24" s="277"/>
      <c r="AH24" s="281" t="str">
        <f ca="1">IF(G24="","",IF(Worksheet!$L299="D","n/a",IF(Worksheet!B$308=Worksheet!C$308,"("&amp;ROUND(Worksheet!B329+Worksheet!C329,2)&amp;")"&amp;ROUND(Worksheet!B$308*100,2),"("&amp;ROUND(Worksheet!B329,2)&amp;")"&amp;ROUND(Worksheet!B$308*100,2)&amp;"/ ("&amp;ROUND(Worksheet!C329,2)&amp;")"&amp;ROUND(Worksheet!C$308*100,2))))</f>
        <v>n/a</v>
      </c>
      <c r="AI24" s="281" t="str">
        <f ca="1">IF(I24="","",IF(Worksheet!$L299="D","n/a",IF(Worksheet!D$308=Worksheet!E$308,"("&amp;ROUND(Worksheet!D329+Worksheet!E329,2)&amp;")"&amp;ROUND(Worksheet!D$308*100,2),"("&amp;ROUND(Worksheet!D329,2)&amp;")"&amp;ROUND(Worksheet!D$308*100,2)&amp;"/ ("&amp;ROUND(Worksheet!E329,2)&amp;")"&amp;ROUND(Worksheet!E$308*100,2))))</f>
        <v>n/a</v>
      </c>
      <c r="AJ24" s="281" t="str">
        <f ca="1">IF(K24="","",IF(Worksheet!$L299="D","n/a",IF(Worksheet!F$308=Worksheet!G$308,"("&amp;ROUND(Worksheet!F329+Worksheet!G329,2)&amp;")"&amp;ROUND(Worksheet!F$308*100,2),"("&amp;ROUND(Worksheet!F329,2)&amp;")"&amp;ROUND(Worksheet!F$308*100,2)&amp;"/ ("&amp;ROUND(Worksheet!G329,2)&amp;")"&amp;ROUND(Worksheet!G$308*100,2))))</f>
        <v>n/a</v>
      </c>
      <c r="AK24" s="281" t="str">
        <f ca="1">IF(M24="","",IF(Worksheet!$L299="D","n/a",IF(Worksheet!H$308=Worksheet!I$308,"("&amp;ROUND(Worksheet!H329+Worksheet!I329,2)&amp;")"&amp;ROUND(Worksheet!H$308*100,2),"("&amp;ROUND(Worksheet!H329,2)&amp;")"&amp;ROUND(Worksheet!H$308*100,2)&amp;"/ ("&amp;ROUND(Worksheet!I329,2)&amp;")"&amp;ROUND(Worksheet!I$308*100,2))))</f>
        <v>n/a</v>
      </c>
      <c r="AL24" s="281" t="str">
        <f ca="1">IF(O24="","",IF(Worksheet!$L299="D","n/a",IF(Worksheet!J$308=Worksheet!K$308,"("&amp;ROUND(Worksheet!J329+Worksheet!K329,2)&amp;")"&amp;ROUND(Worksheet!J$308*100,2),"("&amp;ROUND(Worksheet!J329,2)&amp;")"&amp;ROUND(Worksheet!J$308*100,2)&amp;"/ ("&amp;ROUND(Worksheet!K329,2)&amp;")"&amp;ROUND(Worksheet!K$308*100,2))))</f>
        <v>n/a</v>
      </c>
    </row>
    <row r="25" spans="1:38" hidden="1" x14ac:dyDescent="0.25">
      <c r="A25" s="104">
        <f>Request!A29</f>
        <v>22</v>
      </c>
      <c r="B25" s="100">
        <f>Request!B29</f>
        <v>0</v>
      </c>
      <c r="C25" s="100"/>
      <c r="D25" s="101"/>
      <c r="E25" s="186" t="s">
        <v>156</v>
      </c>
      <c r="F25" s="212"/>
      <c r="G25" s="82">
        <f ca="1">IF(Request!M29&lt;&gt;"CAL 12/12",Worksheet!B410,Worksheet!L410)</f>
        <v>100750</v>
      </c>
      <c r="H25" s="82" t="str">
        <f>IF(Request!H29="","",IF(Request!H29=0,"",IF(Request!F29=0,"",IF(Worksheet!$C$5=0,"",IF($Q25&lt;&gt;12,Worksheet!L410-Worksheet!B410,0)))))</f>
        <v/>
      </c>
      <c r="I25" s="82">
        <f ca="1">IF(Request!$M29&lt;&gt;"CAL 12/12",Worksheet!D410,Worksheet!N410)</f>
        <v>103773</v>
      </c>
      <c r="J25" s="82" t="str">
        <f>IF(Request!I29="","",IF(Request!I29=0,"",IF(Request!F29=0,"",IF(Worksheet!$D$5=0,"",IF(Q25&lt;&gt;12,Worksheet!N410-Worksheet!D410,0)))))</f>
        <v/>
      </c>
      <c r="K25" s="82">
        <f ca="1">IF(Request!$M29&lt;&gt;"CAL 12/12",Worksheet!F410,Worksheet!P410)</f>
        <v>106886</v>
      </c>
      <c r="L25" s="82" t="str">
        <f>IF(Request!J29="","",IF(Request!J29=0,"",IF(Request!F29=0,"",IF(Worksheet!$E$5=0,"",IF(Q25&lt;&gt;12,Worksheet!P410-Worksheet!F410,0)))))</f>
        <v/>
      </c>
      <c r="M25" s="82">
        <f ca="1">IF(Request!$M29&lt;&gt;"CAL 12/12",Worksheet!H410,Worksheet!R410)</f>
        <v>110092</v>
      </c>
      <c r="N25" s="82" t="str">
        <f>IF(Request!K29="","",IF(Request!K29=0,"",IF(Request!F29=0,"",IF(Worksheet!$F$5=0,"",IF(Q25&lt;&gt;12,Worksheet!R410-Worksheet!H410,0)))))</f>
        <v/>
      </c>
      <c r="O25" s="82">
        <f ca="1">IF(Request!$M29&lt;&gt;"CAL 12/12",Worksheet!J410,Worksheet!T410)</f>
        <v>113395</v>
      </c>
      <c r="P25" s="82" t="str">
        <f>IF(Request!L29="","",IF(Request!L29=0,"",IF(Request!F29=0,"",IF(Worksheet!$G$5=0,"",IF(Q25&lt;&gt;12,Worksheet!T410-Worksheet!J410,0)))))</f>
        <v/>
      </c>
      <c r="Q25" s="271">
        <f>IF(Request!M29="CAL 12/12",12,IF(Request!M29="AY 9/12",9,IF(Request!M29="AY 11/12",11,IF(Request!M29="SMR 9/12",9,IF(Request!M29="SMR 11/12",11)))))</f>
        <v>12</v>
      </c>
      <c r="R25" s="271" t="s">
        <v>53</v>
      </c>
      <c r="S25" s="212"/>
      <c r="T25" s="103">
        <f ca="1">IF(AND(G25=0,Request!$G29&lt;&gt;0),"Add Base Sal",IF('Personnel Reference'!G25=0,0,Request!P29/(G25/$Q25)))</f>
        <v>0</v>
      </c>
      <c r="U25" s="103">
        <f ca="1">IF(AND(I25=0,Request!$G29&lt;&gt;0),"Add Base Sal",IF('Personnel Reference'!I25=0,0,IF(I25="","",Request!Q29/(I25/$Q25))))</f>
        <v>0</v>
      </c>
      <c r="V25" s="103">
        <f ca="1">IF(AND(K25=0,Request!$G29&lt;&gt;0),"Add Base Sal",IF('Personnel Reference'!K25=0,0,IF(K25="","",Request!R29/(K25/$Q25))))</f>
        <v>0</v>
      </c>
      <c r="W25" s="103">
        <f ca="1">IF(AND(M25=0,Request!$G29&lt;&gt;0),"Add Base Sal",IF('Personnel Reference'!M25=0,0,IF(M25="","",Request!S29/(M25/$Q25))))</f>
        <v>0</v>
      </c>
      <c r="X25" s="103">
        <f ca="1">IF(AND(O25=0,Request!$G29&lt;&gt;0),"Add Base Sal",IF('Personnel Reference'!O25=0,0,IF(O25="","",Request!T29/(O25/$Q25))))</f>
        <v>0</v>
      </c>
      <c r="Y25" s="285" t="str">
        <f>IF(Request!M29="CAL 12/12","CAL",IF(Request!M29="AY 9/12","AY",IF(Request!M29="AY 11/12","AY",IF(Request!M29="SMR 9/12","SMR",IF(Request!M29="SMR 11/12","SMR")))))</f>
        <v>CAL</v>
      </c>
      <c r="Z25" s="212"/>
      <c r="AA25" s="82">
        <f ca="1">Request!P29+Request!P57</f>
        <v>0</v>
      </c>
      <c r="AB25" s="82">
        <f ca="1">Request!Q29+Request!Q57</f>
        <v>0</v>
      </c>
      <c r="AC25" s="82">
        <f ca="1">Request!R29+Request!R57</f>
        <v>0</v>
      </c>
      <c r="AD25" s="82">
        <f ca="1">Request!S29+Request!S57</f>
        <v>0</v>
      </c>
      <c r="AE25" s="82">
        <f ca="1">Request!T29+Request!T57</f>
        <v>0</v>
      </c>
      <c r="AF25" s="284">
        <f t="shared" ca="1" si="0"/>
        <v>0</v>
      </c>
      <c r="AG25" s="277"/>
      <c r="AH25" s="281" t="str">
        <f ca="1">IF(G25="","",IF(Worksheet!$L300="D","n/a",IF(Worksheet!B$308=Worksheet!C$308,"("&amp;ROUND(Worksheet!B330+Worksheet!C330,2)&amp;")"&amp;ROUND(Worksheet!B$308*100,2),"("&amp;ROUND(Worksheet!B330,2)&amp;")"&amp;ROUND(Worksheet!B$308*100,2)&amp;"/ ("&amp;ROUND(Worksheet!C330,2)&amp;")"&amp;ROUND(Worksheet!C$308*100,2))))</f>
        <v>n/a</v>
      </c>
      <c r="AI25" s="281" t="str">
        <f ca="1">IF(I25="","",IF(Worksheet!$L300="D","n/a",IF(Worksheet!D$308=Worksheet!E$308,"("&amp;ROUND(Worksheet!D330+Worksheet!E330,2)&amp;")"&amp;ROUND(Worksheet!D$308*100,2),"("&amp;ROUND(Worksheet!D330,2)&amp;")"&amp;ROUND(Worksheet!D$308*100,2)&amp;"/ ("&amp;ROUND(Worksheet!E330,2)&amp;")"&amp;ROUND(Worksheet!E$308*100,2))))</f>
        <v>n/a</v>
      </c>
      <c r="AJ25" s="281" t="str">
        <f ca="1">IF(K25="","",IF(Worksheet!$L300="D","n/a",IF(Worksheet!F$308=Worksheet!G$308,"("&amp;ROUND(Worksheet!F330+Worksheet!G330,2)&amp;")"&amp;ROUND(Worksheet!F$308*100,2),"("&amp;ROUND(Worksheet!F330,2)&amp;")"&amp;ROUND(Worksheet!F$308*100,2)&amp;"/ ("&amp;ROUND(Worksheet!G330,2)&amp;")"&amp;ROUND(Worksheet!G$308*100,2))))</f>
        <v>n/a</v>
      </c>
      <c r="AK25" s="281" t="str">
        <f ca="1">IF(M25="","",IF(Worksheet!$L300="D","n/a",IF(Worksheet!H$308=Worksheet!I$308,"("&amp;ROUND(Worksheet!H330+Worksheet!I330,2)&amp;")"&amp;ROUND(Worksheet!H$308*100,2),"("&amp;ROUND(Worksheet!H330,2)&amp;")"&amp;ROUND(Worksheet!H$308*100,2)&amp;"/ ("&amp;ROUND(Worksheet!I330,2)&amp;")"&amp;ROUND(Worksheet!I$308*100,2))))</f>
        <v>n/a</v>
      </c>
      <c r="AL25" s="281" t="str">
        <f ca="1">IF(O25="","",IF(Worksheet!$L300="D","n/a",IF(Worksheet!J$308=Worksheet!K$308,"("&amp;ROUND(Worksheet!J330+Worksheet!K330,2)&amp;")"&amp;ROUND(Worksheet!J$308*100,2),"("&amp;ROUND(Worksheet!J330,2)&amp;")"&amp;ROUND(Worksheet!J$308*100,2)&amp;"/ ("&amp;ROUND(Worksheet!K330,2)&amp;")"&amp;ROUND(Worksheet!K$308*100,2))))</f>
        <v>n/a</v>
      </c>
    </row>
    <row r="26" spans="1:38" hidden="1" x14ac:dyDescent="0.25">
      <c r="A26" s="104">
        <f>Request!A30</f>
        <v>23</v>
      </c>
      <c r="B26" s="100">
        <f>Request!B30</f>
        <v>0</v>
      </c>
      <c r="C26" s="100"/>
      <c r="D26" s="101"/>
      <c r="E26" s="186" t="s">
        <v>156</v>
      </c>
      <c r="F26" s="212"/>
      <c r="G26" s="82">
        <f ca="1">IF(Request!M30&lt;&gt;"CAL 12/12",Worksheet!B411,Worksheet!L411)</f>
        <v>100750</v>
      </c>
      <c r="H26" s="82" t="str">
        <f>IF(Request!H30="","",IF(Request!H30=0,"",IF(Request!F30=0,"",IF(Worksheet!$C$5=0,"",IF($Q26&lt;&gt;12,Worksheet!L411-Worksheet!B411,0)))))</f>
        <v/>
      </c>
      <c r="I26" s="82">
        <f ca="1">IF(Request!$M30&lt;&gt;"CAL 12/12",Worksheet!D411,Worksheet!N411)</f>
        <v>103773</v>
      </c>
      <c r="J26" s="82" t="str">
        <f>IF(Request!I30="","",IF(Request!I30=0,"",IF(Request!F30=0,"",IF(Worksheet!$D$5=0,"",IF(Q26&lt;&gt;12,Worksheet!N411-Worksheet!D411,0)))))</f>
        <v/>
      </c>
      <c r="K26" s="82">
        <f ca="1">IF(Request!$M30&lt;&gt;"CAL 12/12",Worksheet!F411,Worksheet!P411)</f>
        <v>106886</v>
      </c>
      <c r="L26" s="82" t="str">
        <f>IF(Request!J30="","",IF(Request!J30=0,"",IF(Request!F30=0,"",IF(Worksheet!$E$5=0,"",IF(Q26&lt;&gt;12,Worksheet!P411-Worksheet!F411,0)))))</f>
        <v/>
      </c>
      <c r="M26" s="82">
        <f ca="1">IF(Request!$M30&lt;&gt;"CAL 12/12",Worksheet!H411,Worksheet!R411)</f>
        <v>110092</v>
      </c>
      <c r="N26" s="82" t="str">
        <f>IF(Request!K30="","",IF(Request!K30=0,"",IF(Request!F30=0,"",IF(Worksheet!$F$5=0,"",IF(Q26&lt;&gt;12,Worksheet!R411-Worksheet!H411,0)))))</f>
        <v/>
      </c>
      <c r="O26" s="82">
        <f ca="1">IF(Request!$M30&lt;&gt;"CAL 12/12",Worksheet!J411,Worksheet!T411)</f>
        <v>113395</v>
      </c>
      <c r="P26" s="82" t="str">
        <f>IF(Request!L30="","",IF(Request!L30=0,"",IF(Request!F30=0,"",IF(Worksheet!$G$5=0,"",IF(Q26&lt;&gt;12,Worksheet!T411-Worksheet!J411,0)))))</f>
        <v/>
      </c>
      <c r="Q26" s="271">
        <f>IF(Request!M30="CAL 12/12",12,IF(Request!M30="AY 9/12",9,IF(Request!M30="AY 11/12",11,IF(Request!M30="SMR 9/12",9,IF(Request!M30="SMR 11/12",11)))))</f>
        <v>12</v>
      </c>
      <c r="R26" s="271" t="s">
        <v>53</v>
      </c>
      <c r="S26" s="212"/>
      <c r="T26" s="103">
        <f ca="1">IF(AND(G26=0,Request!$G30&lt;&gt;0),"Add Base Sal",IF('Personnel Reference'!G26=0,0,Request!P30/(G26/$Q26)))</f>
        <v>0</v>
      </c>
      <c r="U26" s="103">
        <f ca="1">IF(AND(I26=0,Request!$G30&lt;&gt;0),"Add Base Sal",IF('Personnel Reference'!I26=0,0,IF(I26="","",Request!Q30/(I26/$Q26))))</f>
        <v>0</v>
      </c>
      <c r="V26" s="103">
        <f ca="1">IF(AND(K26=0,Request!$G30&lt;&gt;0),"Add Base Sal",IF('Personnel Reference'!K26=0,0,IF(K26="","",Request!R30/(K26/$Q26))))</f>
        <v>0</v>
      </c>
      <c r="W26" s="103">
        <f ca="1">IF(AND(M26=0,Request!$G30&lt;&gt;0),"Add Base Sal",IF('Personnel Reference'!M26=0,0,IF(M26="","",Request!S30/(M26/$Q26))))</f>
        <v>0</v>
      </c>
      <c r="X26" s="103">
        <f ca="1">IF(AND(O26=0,Request!$G30&lt;&gt;0),"Add Base Sal",IF('Personnel Reference'!O26=0,0,IF(O26="","",Request!T30/(O26/$Q26))))</f>
        <v>0</v>
      </c>
      <c r="Y26" s="285" t="str">
        <f>IF(Request!M30="CAL 12/12","CAL",IF(Request!M30="AY 9/12","AY",IF(Request!M30="AY 11/12","AY",IF(Request!M30="SMR 9/12","SMR",IF(Request!M30="SMR 11/12","SMR")))))</f>
        <v>CAL</v>
      </c>
      <c r="Z26" s="212"/>
      <c r="AA26" s="82">
        <f ca="1">Request!P30+Request!P58</f>
        <v>0</v>
      </c>
      <c r="AB26" s="82">
        <f ca="1">Request!Q30+Request!Q58</f>
        <v>0</v>
      </c>
      <c r="AC26" s="82">
        <f ca="1">Request!R30+Request!R58</f>
        <v>0</v>
      </c>
      <c r="AD26" s="82">
        <f ca="1">Request!S30+Request!S58</f>
        <v>0</v>
      </c>
      <c r="AE26" s="82">
        <f ca="1">Request!T30+Request!T58</f>
        <v>0</v>
      </c>
      <c r="AF26" s="284">
        <f t="shared" ca="1" si="0"/>
        <v>0</v>
      </c>
      <c r="AG26" s="277"/>
      <c r="AH26" s="281" t="str">
        <f ca="1">IF(G26="","",IF(Worksheet!$L301="D","n/a",IF(Worksheet!B$308=Worksheet!C$308,"("&amp;ROUND(Worksheet!B331+Worksheet!C331,2)&amp;")"&amp;ROUND(Worksheet!B$308*100,2),"("&amp;ROUND(Worksheet!B331,2)&amp;")"&amp;ROUND(Worksheet!B$308*100,2)&amp;"/ ("&amp;ROUND(Worksheet!C331,2)&amp;")"&amp;ROUND(Worksheet!C$308*100,2))))</f>
        <v>n/a</v>
      </c>
      <c r="AI26" s="281" t="str">
        <f ca="1">IF(I26="","",IF(Worksheet!$L301="D","n/a",IF(Worksheet!D$308=Worksheet!E$308,"("&amp;ROUND(Worksheet!D331+Worksheet!E331,2)&amp;")"&amp;ROUND(Worksheet!D$308*100,2),"("&amp;ROUND(Worksheet!D331,2)&amp;")"&amp;ROUND(Worksheet!D$308*100,2)&amp;"/ ("&amp;ROUND(Worksheet!E331,2)&amp;")"&amp;ROUND(Worksheet!E$308*100,2))))</f>
        <v>n/a</v>
      </c>
      <c r="AJ26" s="281" t="str">
        <f ca="1">IF(K26="","",IF(Worksheet!$L301="D","n/a",IF(Worksheet!F$308=Worksheet!G$308,"("&amp;ROUND(Worksheet!F331+Worksheet!G331,2)&amp;")"&amp;ROUND(Worksheet!F$308*100,2),"("&amp;ROUND(Worksheet!F331,2)&amp;")"&amp;ROUND(Worksheet!F$308*100,2)&amp;"/ ("&amp;ROUND(Worksheet!G331,2)&amp;")"&amp;ROUND(Worksheet!G$308*100,2))))</f>
        <v>n/a</v>
      </c>
      <c r="AK26" s="281" t="str">
        <f ca="1">IF(M26="","",IF(Worksheet!$L301="D","n/a",IF(Worksheet!H$308=Worksheet!I$308,"("&amp;ROUND(Worksheet!H331+Worksheet!I331,2)&amp;")"&amp;ROUND(Worksheet!H$308*100,2),"("&amp;ROUND(Worksheet!H331,2)&amp;")"&amp;ROUND(Worksheet!H$308*100,2)&amp;"/ ("&amp;ROUND(Worksheet!I331,2)&amp;")"&amp;ROUND(Worksheet!I$308*100,2))))</f>
        <v>n/a</v>
      </c>
      <c r="AL26" s="281" t="str">
        <f ca="1">IF(O26="","",IF(Worksheet!$L301="D","n/a",IF(Worksheet!J$308=Worksheet!K$308,"("&amp;ROUND(Worksheet!J331+Worksheet!K331,2)&amp;")"&amp;ROUND(Worksheet!J$308*100,2),"("&amp;ROUND(Worksheet!J331,2)&amp;")"&amp;ROUND(Worksheet!J$308*100,2)&amp;"/ ("&amp;ROUND(Worksheet!K331,2)&amp;")"&amp;ROUND(Worksheet!K$308*100,2))))</f>
        <v>n/a</v>
      </c>
    </row>
    <row r="27" spans="1:38" hidden="1" x14ac:dyDescent="0.25">
      <c r="A27" s="104">
        <f>Request!A31</f>
        <v>24</v>
      </c>
      <c r="B27" s="100">
        <f>Request!B31</f>
        <v>0</v>
      </c>
      <c r="C27" s="100"/>
      <c r="D27" s="101"/>
      <c r="E27" s="186" t="s">
        <v>156</v>
      </c>
      <c r="F27" s="213"/>
      <c r="G27" s="82">
        <f ca="1">IF(Request!M31&lt;&gt;"CAL 12/12",Worksheet!B412,Worksheet!L412)</f>
        <v>100750</v>
      </c>
      <c r="H27" s="82" t="str">
        <f>IF(Request!H31="","",IF(Request!H31=0,"",IF(Request!F31=0,"",IF(Worksheet!$C$5=0,"",IF($Q27&lt;&gt;12,Worksheet!L412-Worksheet!B412,0)))))</f>
        <v/>
      </c>
      <c r="I27" s="82">
        <f ca="1">IF(Request!$M31&lt;&gt;"CAL 12/12",Worksheet!D412,Worksheet!N412)</f>
        <v>103773</v>
      </c>
      <c r="J27" s="82" t="str">
        <f>IF(Request!I31="","",IF(Request!I31=0,"",IF(Request!F31=0,"",IF(Worksheet!$D$5=0,"",IF(Q27&lt;&gt;12,Worksheet!N412-Worksheet!D412,0)))))</f>
        <v/>
      </c>
      <c r="K27" s="82">
        <f ca="1">IF(Request!$M31&lt;&gt;"CAL 12/12",Worksheet!F412,Worksheet!P412)</f>
        <v>106886</v>
      </c>
      <c r="L27" s="82" t="str">
        <f>IF(Request!J31="","",IF(Request!J31=0,"",IF(Request!F31=0,"",IF(Worksheet!$E$5=0,"",IF(Q27&lt;&gt;12,Worksheet!P412-Worksheet!F412,0)))))</f>
        <v/>
      </c>
      <c r="M27" s="82">
        <f ca="1">IF(Request!$M31&lt;&gt;"CAL 12/12",Worksheet!H412,Worksheet!R412)</f>
        <v>110092</v>
      </c>
      <c r="N27" s="82" t="str">
        <f>IF(Request!K31="","",IF(Request!K31=0,"",IF(Request!F31=0,"",IF(Worksheet!$F$5=0,"",IF(Q27&lt;&gt;12,Worksheet!R412-Worksheet!H412,0)))))</f>
        <v/>
      </c>
      <c r="O27" s="82">
        <f ca="1">IF(Request!$M31&lt;&gt;"CAL 12/12",Worksheet!J412,Worksheet!T412)</f>
        <v>113395</v>
      </c>
      <c r="P27" s="82" t="str">
        <f>IF(Request!L31="","",IF(Request!L31=0,"",IF(Request!F31=0,"",IF(Worksheet!$G$5=0,"",IF(Q27&lt;&gt;12,Worksheet!T412-Worksheet!J412,0)))))</f>
        <v/>
      </c>
      <c r="Q27" s="271">
        <f>IF(Request!M31="CAL 12/12",12,IF(Request!M31="AY 9/12",9,IF(Request!M31="AY 11/12",11,IF(Request!M31="SMR 9/12",9,IF(Request!M31="SMR 11/12",11)))))</f>
        <v>12</v>
      </c>
      <c r="R27" s="271" t="s">
        <v>53</v>
      </c>
      <c r="S27" s="213"/>
      <c r="T27" s="103">
        <f ca="1">IF(AND(G27=0,Request!$G31&lt;&gt;0),"Add Base Sal",IF('Personnel Reference'!G27=0,0,Request!P31/(G27/$Q27)))</f>
        <v>0</v>
      </c>
      <c r="U27" s="103">
        <f ca="1">IF(AND(I27=0,Request!$G31&lt;&gt;0),"Add Base Sal",IF('Personnel Reference'!I27=0,0,IF(I27="","",Request!Q31/(I27/$Q27))))</f>
        <v>0</v>
      </c>
      <c r="V27" s="103">
        <f ca="1">IF(AND(K27=0,Request!$G31&lt;&gt;0),"Add Base Sal",IF('Personnel Reference'!K27=0,0,IF(K27="","",Request!R31/(K27/$Q27))))</f>
        <v>0</v>
      </c>
      <c r="W27" s="103">
        <f ca="1">IF(AND(M27=0,Request!$G31&lt;&gt;0),"Add Base Sal",IF('Personnel Reference'!M27=0,0,IF(M27="","",Request!S31/(M27/$Q27))))</f>
        <v>0</v>
      </c>
      <c r="X27" s="103">
        <f ca="1">IF(AND(O27=0,Request!$G31&lt;&gt;0),"Add Base Sal",IF('Personnel Reference'!O27=0,0,IF(O27="","",Request!T31/(O27/$Q27))))</f>
        <v>0</v>
      </c>
      <c r="Y27" s="285" t="str">
        <f>IF(Request!M31="CAL 12/12","CAL",IF(Request!M31="AY 9/12","AY",IF(Request!M31="AY 11/12","AY",IF(Request!M31="SMR 9/12","SMR",IF(Request!M31="SMR 11/12","SMR")))))</f>
        <v>CAL</v>
      </c>
      <c r="Z27" s="213"/>
      <c r="AA27" s="82">
        <f ca="1">Request!P31+Request!P59</f>
        <v>0</v>
      </c>
      <c r="AB27" s="82">
        <f ca="1">Request!Q31+Request!Q59</f>
        <v>0</v>
      </c>
      <c r="AC27" s="82">
        <f ca="1">Request!R31+Request!R59</f>
        <v>0</v>
      </c>
      <c r="AD27" s="82">
        <f ca="1">Request!S31+Request!S59</f>
        <v>0</v>
      </c>
      <c r="AE27" s="82">
        <f ca="1">Request!T31+Request!T59</f>
        <v>0</v>
      </c>
      <c r="AF27" s="284">
        <f t="shared" ca="1" si="0"/>
        <v>0</v>
      </c>
      <c r="AG27" s="278"/>
      <c r="AH27" s="281" t="str">
        <f ca="1">IF(G27="","",IF(Worksheet!$L302="D","n/a",IF(Worksheet!B$308=Worksheet!C$308,"("&amp;ROUND(Worksheet!B332+Worksheet!C332,2)&amp;")"&amp;ROUND(Worksheet!B$308*100,2),"("&amp;ROUND(Worksheet!B332,2)&amp;")"&amp;ROUND(Worksheet!B$308*100,2)&amp;"/ ("&amp;ROUND(Worksheet!C332,2)&amp;")"&amp;ROUND(Worksheet!C$308*100,2))))</f>
        <v>n/a</v>
      </c>
      <c r="AI27" s="281" t="str">
        <f ca="1">IF(I27="","",IF(Worksheet!$L302="D","n/a",IF(Worksheet!D$308=Worksheet!E$308,"("&amp;ROUND(Worksheet!D332+Worksheet!E332,2)&amp;")"&amp;ROUND(Worksheet!D$308*100,2),"("&amp;ROUND(Worksheet!D332,2)&amp;")"&amp;ROUND(Worksheet!D$308*100,2)&amp;"/ ("&amp;ROUND(Worksheet!E332,2)&amp;")"&amp;ROUND(Worksheet!E$308*100,2))))</f>
        <v>n/a</v>
      </c>
      <c r="AJ27" s="281" t="str">
        <f ca="1">IF(K27="","",IF(Worksheet!$L302="D","n/a",IF(Worksheet!F$308=Worksheet!G$308,"("&amp;ROUND(Worksheet!F332+Worksheet!G332,2)&amp;")"&amp;ROUND(Worksheet!F$308*100,2),"("&amp;ROUND(Worksheet!F332,2)&amp;")"&amp;ROUND(Worksheet!F$308*100,2)&amp;"/ ("&amp;ROUND(Worksheet!G332,2)&amp;")"&amp;ROUND(Worksheet!G$308*100,2))))</f>
        <v>n/a</v>
      </c>
      <c r="AK27" s="281" t="str">
        <f ca="1">IF(M27="","",IF(Worksheet!$L302="D","n/a",IF(Worksheet!H$308=Worksheet!I$308,"("&amp;ROUND(Worksheet!H332+Worksheet!I332,2)&amp;")"&amp;ROUND(Worksheet!H$308*100,2),"("&amp;ROUND(Worksheet!H332,2)&amp;")"&amp;ROUND(Worksheet!H$308*100,2)&amp;"/ ("&amp;ROUND(Worksheet!I332,2)&amp;")"&amp;ROUND(Worksheet!I$308*100,2))))</f>
        <v>n/a</v>
      </c>
      <c r="AL27" s="281" t="str">
        <f ca="1">IF(O27="","",IF(Worksheet!$L302="D","n/a",IF(Worksheet!J$308=Worksheet!K$308,"("&amp;ROUND(Worksheet!J332+Worksheet!K332,2)&amp;")"&amp;ROUND(Worksheet!J$308*100,2),"("&amp;ROUND(Worksheet!J332,2)&amp;")"&amp;ROUND(Worksheet!J$308*100,2)&amp;"/ ("&amp;ROUND(Worksheet!K332,2)&amp;")"&amp;ROUND(Worksheet!K$308*100,2))))</f>
        <v>n/a</v>
      </c>
    </row>
    <row r="28" spans="1:38" x14ac:dyDescent="0.25">
      <c r="A28" s="45"/>
      <c r="B28" s="112"/>
      <c r="C28" s="112"/>
      <c r="D28" s="112"/>
      <c r="E28" s="112"/>
      <c r="F28" s="113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5"/>
      <c r="R28" s="115"/>
      <c r="S28" s="113"/>
      <c r="T28" s="116"/>
      <c r="U28" s="116"/>
      <c r="V28" s="116"/>
      <c r="W28" s="116"/>
      <c r="X28" s="116"/>
      <c r="Y28" s="117"/>
      <c r="Z28" s="113"/>
      <c r="AA28" s="113"/>
      <c r="AB28" s="113"/>
      <c r="AC28" s="113"/>
      <c r="AD28" s="113"/>
      <c r="AE28" s="113"/>
      <c r="AF28" s="113"/>
      <c r="AG28" s="113"/>
      <c r="AH28" s="282"/>
      <c r="AI28" s="282"/>
      <c r="AJ28" s="282"/>
      <c r="AK28" s="282"/>
      <c r="AL28" s="282"/>
    </row>
    <row r="29" spans="1:38" x14ac:dyDescent="0.25">
      <c r="A29" s="503" t="s">
        <v>172</v>
      </c>
      <c r="B29" s="504"/>
      <c r="C29" s="504"/>
      <c r="D29" s="504"/>
      <c r="E29" s="505"/>
      <c r="G29" s="496" t="s">
        <v>144</v>
      </c>
      <c r="H29" s="497"/>
      <c r="I29" s="497"/>
      <c r="J29" s="497"/>
      <c r="K29" s="497"/>
      <c r="L29" s="497"/>
      <c r="M29" s="497"/>
      <c r="N29" s="497"/>
      <c r="O29" s="497"/>
      <c r="P29" s="497"/>
      <c r="Q29" s="497"/>
      <c r="R29" s="498"/>
      <c r="T29" s="520" t="s">
        <v>175</v>
      </c>
      <c r="U29" s="521"/>
      <c r="V29" s="521"/>
      <c r="W29" s="521"/>
      <c r="X29" s="521"/>
      <c r="Y29" s="522"/>
      <c r="Z29" s="273"/>
    </row>
    <row r="30" spans="1:38" x14ac:dyDescent="0.25">
      <c r="A30" s="506"/>
      <c r="B30" s="507"/>
      <c r="C30" s="507"/>
      <c r="D30" s="507"/>
      <c r="E30" s="508"/>
      <c r="G30" s="496" t="s">
        <v>7</v>
      </c>
      <c r="H30" s="498"/>
      <c r="I30" s="496" t="s">
        <v>8</v>
      </c>
      <c r="J30" s="498"/>
      <c r="K30" s="496" t="s">
        <v>9</v>
      </c>
      <c r="L30" s="498"/>
      <c r="M30" s="496" t="s">
        <v>18</v>
      </c>
      <c r="N30" s="498"/>
      <c r="O30" s="496" t="s">
        <v>10</v>
      </c>
      <c r="P30" s="498"/>
      <c r="Q30" s="496" t="s">
        <v>11</v>
      </c>
      <c r="R30" s="498"/>
      <c r="T30" s="119" t="s">
        <v>7</v>
      </c>
      <c r="U30" s="119" t="s">
        <v>8</v>
      </c>
      <c r="V30" s="119" t="s">
        <v>9</v>
      </c>
      <c r="W30" s="119" t="s">
        <v>18</v>
      </c>
      <c r="X30" s="119" t="s">
        <v>10</v>
      </c>
      <c r="Y30" s="119" t="s">
        <v>11</v>
      </c>
      <c r="Z30" s="273"/>
    </row>
    <row r="31" spans="1:38" x14ac:dyDescent="0.25">
      <c r="A31" s="515" t="s">
        <v>171</v>
      </c>
      <c r="B31" s="516"/>
      <c r="C31" s="516"/>
      <c r="D31" s="516"/>
      <c r="E31" s="517"/>
      <c r="G31" s="501">
        <f>SUMIF($E$4:$E$27,"postdoc",Request!P8:P31)</f>
        <v>0</v>
      </c>
      <c r="H31" s="502"/>
      <c r="I31" s="501">
        <f>SUMIF($E$4:$E$27,"postdoc",Request!Q8:Q31)</f>
        <v>0</v>
      </c>
      <c r="J31" s="502"/>
      <c r="K31" s="501">
        <f>SUMIF($E$4:$E$27,"postdoc",Request!R8:R31)</f>
        <v>0</v>
      </c>
      <c r="L31" s="502"/>
      <c r="M31" s="501">
        <f>SUMIF($E$4:$E$27,"postdoc",Request!S8:S31)</f>
        <v>0</v>
      </c>
      <c r="N31" s="502"/>
      <c r="O31" s="501">
        <f>SUMIF($E$4:$E$27,"postdoc",Request!T8:T31)</f>
        <v>0</v>
      </c>
      <c r="P31" s="502"/>
      <c r="Q31" s="499">
        <f>SUM(G31:O31)</f>
        <v>0</v>
      </c>
      <c r="R31" s="500"/>
      <c r="T31" s="118">
        <f>SUMIF($E$4:$E$27,"postdoc",T4:T27)</f>
        <v>0</v>
      </c>
      <c r="U31" s="118">
        <f>SUMIF($E$4:$E$27,"postdoc",U4:U27)</f>
        <v>0</v>
      </c>
      <c r="V31" s="118">
        <f>SUMIF($E$4:$E$27,"postdoc",V4:V27)</f>
        <v>0</v>
      </c>
      <c r="W31" s="118">
        <f>SUMIF($E$4:$E$27,"postdoc",W4:W27)</f>
        <v>0</v>
      </c>
      <c r="X31" s="118">
        <f>SUMIF($E$4:$E$27,"postdoc",X4:X27)</f>
        <v>0</v>
      </c>
      <c r="Y31" s="185">
        <f>SUM(T31:X31)</f>
        <v>0</v>
      </c>
      <c r="Z31" s="272"/>
    </row>
    <row r="32" spans="1:38" x14ac:dyDescent="0.25">
      <c r="A32" s="515" t="s">
        <v>168</v>
      </c>
      <c r="B32" s="516"/>
      <c r="C32" s="516"/>
      <c r="D32" s="516"/>
      <c r="E32" s="517"/>
      <c r="G32" s="501">
        <f>SUMIF($E$4:$E$27,"GSR",Request!P8:P31)</f>
        <v>0</v>
      </c>
      <c r="H32" s="502"/>
      <c r="I32" s="501">
        <f>SUMIF($E$4:$E$27,"GSR",Request!Q8:Q31)</f>
        <v>0</v>
      </c>
      <c r="J32" s="502"/>
      <c r="K32" s="501">
        <f>SUMIF($E$4:$E$27,"GSR",Request!R8:R31)</f>
        <v>0</v>
      </c>
      <c r="L32" s="502"/>
      <c r="M32" s="501">
        <f>SUMIF($E$4:$E$27,"GSR",Request!S8:S31)</f>
        <v>0</v>
      </c>
      <c r="N32" s="502"/>
      <c r="O32" s="501">
        <f>SUMIF($E$4:$E$27,"GSR",Request!T8:T31)</f>
        <v>0</v>
      </c>
      <c r="P32" s="502"/>
      <c r="Q32" s="499">
        <f>SUM(G32:O32)</f>
        <v>0</v>
      </c>
      <c r="R32" s="500"/>
      <c r="T32" s="118">
        <f>SUMIF($E$4:$E$27,"GSR",T4:T27)</f>
        <v>0</v>
      </c>
      <c r="U32" s="118">
        <f>SUMIF($E$4:$E$27,"GSR",U4:U27)</f>
        <v>0</v>
      </c>
      <c r="V32" s="118">
        <f>SUMIF($E$4:$E$27,"GSR",V4:V27)</f>
        <v>0</v>
      </c>
      <c r="W32" s="118">
        <f>SUMIF($E$4:$E$27,"GSR",W4:W27)</f>
        <v>0</v>
      </c>
      <c r="X32" s="118">
        <f>SUMIF($E$4:$E$27,"GSR",X4:X27)</f>
        <v>0</v>
      </c>
      <c r="Y32" s="185">
        <f>SUM(T32:X32)</f>
        <v>0</v>
      </c>
      <c r="Z32" s="272"/>
    </row>
    <row r="33" spans="1:26" x14ac:dyDescent="0.25">
      <c r="A33" s="515" t="s">
        <v>169</v>
      </c>
      <c r="B33" s="516"/>
      <c r="C33" s="516"/>
      <c r="D33" s="516"/>
      <c r="E33" s="517"/>
      <c r="G33" s="501">
        <f>SUMIF($E$4:$E$27,"Undergrad",Request!P8:P31)</f>
        <v>0</v>
      </c>
      <c r="H33" s="502"/>
      <c r="I33" s="501">
        <f>SUMIF($E$4:$E$27,"Undergrad",Request!Q8:Q31)</f>
        <v>0</v>
      </c>
      <c r="J33" s="502"/>
      <c r="K33" s="501">
        <f>SUMIF($E$4:$E$27,"Undergrad",Request!R8:R31)</f>
        <v>0</v>
      </c>
      <c r="L33" s="502"/>
      <c r="M33" s="501">
        <f>SUMIF($E$4:$E$27,"Undergrad",Request!S8:S31)</f>
        <v>0</v>
      </c>
      <c r="N33" s="502"/>
      <c r="O33" s="501">
        <f>SUMIF($E$4:$E$27,"Undergrad",Request!T8:T31)</f>
        <v>0</v>
      </c>
      <c r="P33" s="502"/>
      <c r="Q33" s="499">
        <f>SUM(G33:O33)</f>
        <v>0</v>
      </c>
      <c r="R33" s="500"/>
      <c r="T33" s="118">
        <f>SUMIF($E$4:$E$27,"Undergrad",T4:T27)</f>
        <v>0</v>
      </c>
      <c r="U33" s="118">
        <f>SUMIF($E$4:$E$27,"Undergrad",U4:U27)</f>
        <v>0</v>
      </c>
      <c r="V33" s="118">
        <f>SUMIF($E$4:$E$27,"Undergrad",V4:V27)</f>
        <v>0</v>
      </c>
      <c r="W33" s="118">
        <f>SUMIF($E$4:$E$27,"Undergrad",W4:W27)</f>
        <v>0</v>
      </c>
      <c r="X33" s="118">
        <f>SUMIF($E$4:$E$27,"Undergrad",X4:X27)</f>
        <v>0</v>
      </c>
      <c r="Y33" s="185">
        <f>SUM(T33:X33)</f>
        <v>0</v>
      </c>
      <c r="Z33" s="272"/>
    </row>
    <row r="34" spans="1:26" x14ac:dyDescent="0.25">
      <c r="A34" s="515" t="s">
        <v>170</v>
      </c>
      <c r="B34" s="516"/>
      <c r="C34" s="516"/>
      <c r="D34" s="516"/>
      <c r="E34" s="517"/>
      <c r="G34" s="501">
        <f>SUMIF($E$4:$E$27,"Clerical",Request!P8:P31)</f>
        <v>0</v>
      </c>
      <c r="H34" s="502"/>
      <c r="I34" s="501">
        <f>SUMIF($E$4:$E$27,"Clerical",Request!Q8:Q31)</f>
        <v>0</v>
      </c>
      <c r="J34" s="502"/>
      <c r="K34" s="501">
        <f>SUMIF($E$4:$E$27,"Clerical",Request!R8:R31)</f>
        <v>0</v>
      </c>
      <c r="L34" s="502"/>
      <c r="M34" s="501">
        <f>SUMIF($E$4:$E$27,"Clerical",Request!S8:S31)</f>
        <v>0</v>
      </c>
      <c r="N34" s="502"/>
      <c r="O34" s="501">
        <f>SUMIF($E$4:$E$27,"Clerical",Request!T8:T31)</f>
        <v>0</v>
      </c>
      <c r="P34" s="502"/>
      <c r="Q34" s="499">
        <f>SUM(G34:O34)</f>
        <v>0</v>
      </c>
      <c r="R34" s="500"/>
      <c r="T34" s="118">
        <f>SUMIF($E$4:$E$27,"Clerical",T4:T27)</f>
        <v>0</v>
      </c>
      <c r="U34" s="118">
        <f>SUMIF($E$4:$E$27,"Clerical",U4:U27)</f>
        <v>0</v>
      </c>
      <c r="V34" s="118">
        <f>SUMIF($E$4:$E$27,"Clerical",V4:V27)</f>
        <v>0</v>
      </c>
      <c r="W34" s="118">
        <f>SUMIF($E$4:$E$27,"Clerical",W4:W27)</f>
        <v>0</v>
      </c>
      <c r="X34" s="118">
        <f>SUMIF($E$4:$E$27,"Clerical",X4:X27)</f>
        <v>0</v>
      </c>
      <c r="Y34" s="185">
        <f>SUM(T34:X34)</f>
        <v>0</v>
      </c>
      <c r="Z34" s="272"/>
    </row>
    <row r="35" spans="1:26" ht="7.9" customHeight="1" x14ac:dyDescent="0.25"/>
    <row r="36" spans="1:26" x14ac:dyDescent="0.25">
      <c r="A36" s="503" t="s">
        <v>174</v>
      </c>
      <c r="B36" s="504"/>
      <c r="C36" s="504"/>
      <c r="D36" s="504"/>
      <c r="E36" s="505"/>
      <c r="G36" s="496" t="s">
        <v>174</v>
      </c>
      <c r="H36" s="497"/>
      <c r="I36" s="497"/>
      <c r="J36" s="497"/>
      <c r="K36" s="497"/>
      <c r="L36" s="497"/>
      <c r="M36" s="497"/>
      <c r="N36" s="497"/>
      <c r="O36" s="497"/>
      <c r="P36" s="497"/>
      <c r="Q36" s="497"/>
      <c r="R36" s="498"/>
    </row>
    <row r="37" spans="1:26" x14ac:dyDescent="0.25">
      <c r="A37" s="506"/>
      <c r="B37" s="507"/>
      <c r="C37" s="507"/>
      <c r="D37" s="507"/>
      <c r="E37" s="508"/>
      <c r="G37" s="496" t="s">
        <v>7</v>
      </c>
      <c r="H37" s="498"/>
      <c r="I37" s="496" t="s">
        <v>8</v>
      </c>
      <c r="J37" s="498"/>
      <c r="K37" s="496" t="s">
        <v>9</v>
      </c>
      <c r="L37" s="498"/>
      <c r="M37" s="496" t="s">
        <v>18</v>
      </c>
      <c r="N37" s="498"/>
      <c r="O37" s="496" t="s">
        <v>10</v>
      </c>
      <c r="P37" s="498"/>
      <c r="Q37" s="496" t="s">
        <v>11</v>
      </c>
      <c r="R37" s="498"/>
    </row>
    <row r="38" spans="1:26" x14ac:dyDescent="0.25">
      <c r="A38" s="515" t="s">
        <v>171</v>
      </c>
      <c r="B38" s="516"/>
      <c r="C38" s="516"/>
      <c r="D38" s="516"/>
      <c r="E38" s="517"/>
      <c r="G38" s="501">
        <f>SUMIF($E$4:$E$27,"postdoc",Request!P36:P59)</f>
        <v>0</v>
      </c>
      <c r="H38" s="502"/>
      <c r="I38" s="501">
        <f>SUMIF($E$4:$E$27,"postdoc",Request!Q36:Q59)</f>
        <v>0</v>
      </c>
      <c r="J38" s="502"/>
      <c r="K38" s="501">
        <f>SUMIF($E$4:$E$27,"postdoc",Request!R36:R59)</f>
        <v>0</v>
      </c>
      <c r="L38" s="502"/>
      <c r="M38" s="501">
        <f>SUMIF($E$4:$E$27,"postdoc",Request!S36:S59)</f>
        <v>0</v>
      </c>
      <c r="N38" s="502"/>
      <c r="O38" s="501">
        <f>SUMIF($E$4:$E$27,"postdoc",Request!T36:T59)</f>
        <v>0</v>
      </c>
      <c r="P38" s="502"/>
      <c r="Q38" s="499">
        <f>SUM(G38:O38)</f>
        <v>0</v>
      </c>
      <c r="R38" s="500"/>
    </row>
    <row r="39" spans="1:26" x14ac:dyDescent="0.25">
      <c r="A39" s="515" t="s">
        <v>168</v>
      </c>
      <c r="B39" s="516"/>
      <c r="C39" s="516"/>
      <c r="D39" s="516"/>
      <c r="E39" s="517"/>
      <c r="G39" s="501">
        <f>SUMIF($E$4:$E$27,"GSR",Request!P36:P59)</f>
        <v>0</v>
      </c>
      <c r="H39" s="502"/>
      <c r="I39" s="501">
        <f>SUMIF($E$4:$E$27,"GSR",Request!Q36:Q59)</f>
        <v>0</v>
      </c>
      <c r="J39" s="502"/>
      <c r="K39" s="501">
        <f>SUMIF($E$4:$E$27,"GSR",Request!R36:R59)</f>
        <v>0</v>
      </c>
      <c r="L39" s="502"/>
      <c r="M39" s="501">
        <f>SUMIF($E$4:$E$27,"GSR",Request!S36:S59)</f>
        <v>0</v>
      </c>
      <c r="N39" s="502"/>
      <c r="O39" s="501">
        <f>SUMIF($E$4:$E$27,"GSR",Request!T36:T59)</f>
        <v>0</v>
      </c>
      <c r="P39" s="502"/>
      <c r="Q39" s="499">
        <f>SUM(G39:O39)</f>
        <v>0</v>
      </c>
      <c r="R39" s="500"/>
    </row>
    <row r="40" spans="1:26" x14ac:dyDescent="0.25">
      <c r="A40" s="515" t="s">
        <v>169</v>
      </c>
      <c r="B40" s="516"/>
      <c r="C40" s="516"/>
      <c r="D40" s="516"/>
      <c r="E40" s="517"/>
      <c r="G40" s="501">
        <f>SUMIF($E$4:$E$27,"Undergrad",Request!P36:P59)</f>
        <v>0</v>
      </c>
      <c r="H40" s="502"/>
      <c r="I40" s="501">
        <f>SUMIF($E$4:$E$27,"Undergrad",Request!Q36:Q59)</f>
        <v>0</v>
      </c>
      <c r="J40" s="502"/>
      <c r="K40" s="501">
        <f>SUMIF($E$4:$E$27,"Undergrad",Request!R36:R59)</f>
        <v>0</v>
      </c>
      <c r="L40" s="502"/>
      <c r="M40" s="501">
        <f>SUMIF($E$4:$E$27,"Undergrad",Request!S36:S59)</f>
        <v>0</v>
      </c>
      <c r="N40" s="502"/>
      <c r="O40" s="501">
        <f>SUMIF($E$4:$E$27,"Undergrad",Request!T36:T59)</f>
        <v>0</v>
      </c>
      <c r="P40" s="502"/>
      <c r="Q40" s="499">
        <f>SUM(G40:O40)</f>
        <v>0</v>
      </c>
      <c r="R40" s="500"/>
    </row>
    <row r="41" spans="1:26" x14ac:dyDescent="0.25">
      <c r="A41" s="515" t="s">
        <v>170</v>
      </c>
      <c r="B41" s="516"/>
      <c r="C41" s="516"/>
      <c r="D41" s="516"/>
      <c r="E41" s="517"/>
      <c r="G41" s="501">
        <f>SUMIF($E$4:$E$27,"Clerical",Request!P36:P59)</f>
        <v>0</v>
      </c>
      <c r="H41" s="502"/>
      <c r="I41" s="501">
        <f>SUMIF($E$4:$E$27,"Clerical",Request!Q36:Q59)</f>
        <v>0</v>
      </c>
      <c r="J41" s="502"/>
      <c r="K41" s="501">
        <f>SUMIF($E$4:$E$27,"Clerical",Request!R36:R59)</f>
        <v>0</v>
      </c>
      <c r="L41" s="502"/>
      <c r="M41" s="501">
        <f>SUMIF($E$4:$E$27,"Clerical",Request!S36:S59)</f>
        <v>0</v>
      </c>
      <c r="N41" s="502"/>
      <c r="O41" s="501">
        <f>SUMIF($E$4:$E$27,"Clerical",Request!T36:T59)</f>
        <v>0</v>
      </c>
      <c r="P41" s="502"/>
      <c r="Q41" s="499">
        <f>SUM(G41:O41)</f>
        <v>0</v>
      </c>
      <c r="R41" s="500"/>
    </row>
    <row r="42" spans="1:26" x14ac:dyDescent="0.25">
      <c r="Q42" s="120"/>
      <c r="R42" s="120"/>
    </row>
    <row r="44" spans="1:26" x14ac:dyDescent="0.25">
      <c r="G44" s="290"/>
      <c r="H44" s="290"/>
    </row>
  </sheetData>
  <sheetProtection formatCells="0" formatColumns="0" formatRows="0"/>
  <mergeCells count="86">
    <mergeCell ref="G37:H37"/>
    <mergeCell ref="G38:H38"/>
    <mergeCell ref="G39:H39"/>
    <mergeCell ref="G40:H40"/>
    <mergeCell ref="G41:H41"/>
    <mergeCell ref="A38:E38"/>
    <mergeCell ref="A39:E39"/>
    <mergeCell ref="A40:E40"/>
    <mergeCell ref="A41:E41"/>
    <mergeCell ref="A36:E37"/>
    <mergeCell ref="AA1:AF2"/>
    <mergeCell ref="AH1:AL2"/>
    <mergeCell ref="I2:J2"/>
    <mergeCell ref="K2:L2"/>
    <mergeCell ref="M2:N2"/>
    <mergeCell ref="O2:P2"/>
    <mergeCell ref="Q2:R3"/>
    <mergeCell ref="G1:R1"/>
    <mergeCell ref="G2:H2"/>
    <mergeCell ref="G33:H33"/>
    <mergeCell ref="G34:H34"/>
    <mergeCell ref="A1:E2"/>
    <mergeCell ref="T1:Y2"/>
    <mergeCell ref="A33:E33"/>
    <mergeCell ref="A34:E34"/>
    <mergeCell ref="A3:B3"/>
    <mergeCell ref="T29:Y29"/>
    <mergeCell ref="C3:E3"/>
    <mergeCell ref="A31:E31"/>
    <mergeCell ref="A32:E32"/>
    <mergeCell ref="A29:E30"/>
    <mergeCell ref="M30:N30"/>
    <mergeCell ref="O30:P30"/>
    <mergeCell ref="I31:J31"/>
    <mergeCell ref="M31:N31"/>
    <mergeCell ref="G30:H30"/>
    <mergeCell ref="G31:H31"/>
    <mergeCell ref="K31:L31"/>
    <mergeCell ref="K32:L32"/>
    <mergeCell ref="G32:H32"/>
    <mergeCell ref="K33:L33"/>
    <mergeCell ref="K34:L34"/>
    <mergeCell ref="I30:J30"/>
    <mergeCell ref="K30:L30"/>
    <mergeCell ref="K41:L41"/>
    <mergeCell ref="I37:J37"/>
    <mergeCell ref="I38:J38"/>
    <mergeCell ref="I39:J39"/>
    <mergeCell ref="I40:J40"/>
    <mergeCell ref="I41:J41"/>
    <mergeCell ref="M38:N38"/>
    <mergeCell ref="M39:N39"/>
    <mergeCell ref="M40:N40"/>
    <mergeCell ref="M41:N41"/>
    <mergeCell ref="K38:L38"/>
    <mergeCell ref="K39:L39"/>
    <mergeCell ref="O41:P41"/>
    <mergeCell ref="Q30:R30"/>
    <mergeCell ref="Q31:R31"/>
    <mergeCell ref="Q32:R32"/>
    <mergeCell ref="Q33:R33"/>
    <mergeCell ref="Q34:R34"/>
    <mergeCell ref="Q41:R41"/>
    <mergeCell ref="O37:P37"/>
    <mergeCell ref="O38:P38"/>
    <mergeCell ref="O39:P39"/>
    <mergeCell ref="O31:P31"/>
    <mergeCell ref="O32:P32"/>
    <mergeCell ref="O33:P33"/>
    <mergeCell ref="O34:P34"/>
    <mergeCell ref="G29:R29"/>
    <mergeCell ref="Q37:R37"/>
    <mergeCell ref="Q38:R38"/>
    <mergeCell ref="Q39:R39"/>
    <mergeCell ref="Q40:R40"/>
    <mergeCell ref="G36:R36"/>
    <mergeCell ref="O40:P40"/>
    <mergeCell ref="K40:L40"/>
    <mergeCell ref="K37:L37"/>
    <mergeCell ref="M37:N37"/>
    <mergeCell ref="M32:N32"/>
    <mergeCell ref="M33:N33"/>
    <mergeCell ref="M34:N34"/>
    <mergeCell ref="I32:J32"/>
    <mergeCell ref="I33:J33"/>
    <mergeCell ref="I34:J34"/>
  </mergeCells>
  <dataValidations disablePrompts="1" count="2">
    <dataValidation type="list" allowBlank="1" showInputMessage="1" showErrorMessage="1" sqref="E4:E28">
      <formula1>"Senior/Key,Other,Postdoc,GSR,Undergrad,Clerical"</formula1>
    </dataValidation>
    <dataValidation type="list" allowBlank="1" showInputMessage="1" showErrorMessage="1" sqref="Q28:R28">
      <formula1>"n/a,Base- 9/12,Base-11/12"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Worksheet</vt:lpstr>
      <vt:lpstr>Request</vt:lpstr>
      <vt:lpstr>F&amp;A Details</vt:lpstr>
      <vt:lpstr>Personnel Reference</vt:lpstr>
      <vt:lpstr>Request!Print_Area</vt:lpstr>
    </vt:vector>
  </TitlesOfParts>
  <Company>UCDavis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Bunn</dc:creator>
  <cp:lastModifiedBy>Kassie Obelleiro</cp:lastModifiedBy>
  <cp:lastPrinted>2019-07-03T23:06:26Z</cp:lastPrinted>
  <dcterms:created xsi:type="dcterms:W3CDTF">2014-08-22T18:00:39Z</dcterms:created>
  <dcterms:modified xsi:type="dcterms:W3CDTF">2019-10-10T22:59:01Z</dcterms:modified>
</cp:coreProperties>
</file>